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Q:\Finances Communales\1. Péréquations\NPIV 2026\Acomptes 2026\9. Communication\Décompte prévisionnel publié\"/>
    </mc:Choice>
  </mc:AlternateContent>
  <xr:revisionPtr revIDLastSave="0" documentId="13_ncr:1_{5ACD438D-8B49-4019-AF26-E28279EF7B5F}" xr6:coauthVersionLast="47" xr6:coauthVersionMax="47" xr10:uidLastSave="{00000000-0000-0000-0000-000000000000}"/>
  <bookViews>
    <workbookView xWindow="-28920" yWindow="-120" windowWidth="29040" windowHeight="15720" tabRatio="1000" activeTab="10" xr2:uid="{E3323243-2D95-41FA-A8F2-9D8F1668BA21}"/>
  </bookViews>
  <sheets>
    <sheet name="Table des matières" sheetId="56" r:id="rId1"/>
    <sheet name="Paramètres" sheetId="50" r:id="rId2"/>
    <sheet name="Données" sheetId="53" r:id="rId3"/>
    <sheet name="RFS" sheetId="2" r:id="rId4"/>
    <sheet name="Ressources" sheetId="3" r:id="rId5"/>
    <sheet name="Besoins structurels" sheetId="9" r:id="rId6"/>
    <sheet name="Charges des villes" sheetId="21" r:id="rId7"/>
    <sheet name="PCS" sheetId="4" r:id="rId8"/>
    <sheet name="Police" sheetId="29" r:id="rId9"/>
    <sheet name="Synthèse" sheetId="55" r:id="rId10"/>
    <sheet name="Synthèse par commune" sheetId="57" r:id="rId11"/>
    <sheet name="Détail par commune" sheetId="45" r:id="rId12"/>
    <sheet name="Données par commune" sheetId="59" r:id="rId13"/>
  </sheets>
  <externalReferences>
    <externalReference r:id="rId14"/>
    <externalReference r:id="rId15"/>
  </externalReferences>
  <definedNames>
    <definedName name="_DH01V01">#REF!</definedName>
    <definedName name="_DH02V01">#REF!</definedName>
    <definedName name="_DH03V01">#REF!</definedName>
    <definedName name="_xlnm._FilterDatabase" localSheetId="5" hidden="1">'Besoins structurels'!$A$7:$V$7</definedName>
    <definedName name="_xlnm._FilterDatabase" localSheetId="6" hidden="1">'Charges des villes'!$A$7:$N$308</definedName>
    <definedName name="_xlnm._FilterDatabase" localSheetId="7" hidden="1">PCS!$A$7:$D$7</definedName>
    <definedName name="_xlnm._FilterDatabase" localSheetId="8" hidden="1">Police!$A$7:$U$7</definedName>
    <definedName name="_xlnm._FilterDatabase" localSheetId="9" hidden="1">Synthèse!$A$7:$C$7</definedName>
    <definedName name="_H01">#REF!</definedName>
    <definedName name="_H02">#REF!</definedName>
    <definedName name="_H03">#REF!</definedName>
    <definedName name="_N01">#REF!</definedName>
    <definedName name="_N02">#REF!</definedName>
    <definedName name="_N03">#REF!</definedName>
    <definedName name="_V01">#REF!</definedName>
    <definedName name="AS_Bereich">#REF!</definedName>
    <definedName name="_xlnm.Database" localSheetId="0">#REF!</definedName>
    <definedName name="_xlnm.Database">#REF!</definedName>
    <definedName name="_xlnm.Print_Titles" localSheetId="2">Données!$1:$7</definedName>
    <definedName name="_xlnm.Print_Titles" localSheetId="4">Ressources!$1:$7</definedName>
    <definedName name="_xlnm.Print_Titles" localSheetId="3">RFS!$1:$7</definedName>
    <definedName name="ind">2</definedName>
    <definedName name="o">'[1]Kantone SfproE 2004-09'!$A$22:$M$47</definedName>
    <definedName name="ooo">'[2]Kantone SfproE 2004-09'!$A$22:$M$47</definedName>
    <definedName name="sfproe_csv">#REF!</definedName>
    <definedName name="Sortierbereich">#REF!</definedName>
    <definedName name="Sortierbereichtemp">#REF!</definedName>
    <definedName name="SortierungLC">#REF!</definedName>
    <definedName name="_xlnm.Print_Area" localSheetId="11">'Détail par commune'!$A$1:$U$38</definedName>
    <definedName name="_xlnm.Print_Area" localSheetId="12">'Données par commune'!$A$1:$I$23</definedName>
    <definedName name="_xlnm.Print_Area" localSheetId="10">'Synthèse par commune'!$A$1:$F$30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0" l="1"/>
  <c r="N308" i="53"/>
  <c r="K7" i="50" l="1"/>
  <c r="G9" i="50"/>
  <c r="U69" i="53" l="1"/>
  <c r="H69" i="53"/>
  <c r="G69" i="53"/>
  <c r="F69" i="53"/>
  <c r="H58" i="53"/>
  <c r="T59" i="53"/>
  <c r="T230" i="53" l="1"/>
  <c r="T286" i="53"/>
  <c r="T251" i="53"/>
  <c r="T193" i="53"/>
  <c r="T273" i="53"/>
  <c r="H51" i="53"/>
  <c r="F28" i="53"/>
  <c r="F156" i="53"/>
  <c r="F191" i="53"/>
  <c r="T192" i="53"/>
  <c r="F185" i="53"/>
  <c r="H150" i="53"/>
  <c r="F291" i="53"/>
  <c r="H195" i="53"/>
  <c r="F169" i="53"/>
  <c r="H209" i="53"/>
  <c r="F220" i="53"/>
  <c r="M108" i="53"/>
  <c r="F304" i="53" l="1"/>
  <c r="F115" i="53"/>
  <c r="F50" i="53"/>
  <c r="T249" i="53"/>
  <c r="F219" i="53"/>
  <c r="I263" i="53"/>
  <c r="H263" i="53"/>
  <c r="T61" i="53"/>
  <c r="J174" i="53"/>
  <c r="F174" i="53"/>
  <c r="F108" i="53"/>
  <c r="F131" i="53"/>
  <c r="T120" i="53"/>
  <c r="H23" i="53"/>
  <c r="B1" i="59" l="1"/>
  <c r="F13" i="59"/>
  <c r="F12" i="59"/>
  <c r="F3" i="59"/>
  <c r="H10" i="59" l="1"/>
  <c r="H17" i="59"/>
  <c r="H13" i="59"/>
  <c r="H14" i="59"/>
  <c r="H12" i="59"/>
  <c r="H19" i="59"/>
  <c r="H11" i="59"/>
  <c r="H9" i="59"/>
  <c r="H7" i="59"/>
  <c r="H8" i="59"/>
  <c r="H6" i="59"/>
  <c r="D17" i="59"/>
  <c r="D6" i="59"/>
  <c r="D18" i="59"/>
  <c r="D19" i="59"/>
  <c r="D20" i="59"/>
  <c r="D12" i="59"/>
  <c r="D22" i="59"/>
  <c r="D10" i="59"/>
  <c r="D16" i="59"/>
  <c r="D11" i="59"/>
  <c r="D13" i="59"/>
  <c r="D21" i="59"/>
  <c r="D7" i="59"/>
  <c r="D15" i="59"/>
  <c r="D8" i="59"/>
  <c r="D9" i="59"/>
  <c r="I7" i="50" l="1"/>
  <c r="E26" i="57" l="1"/>
  <c r="P9" i="21"/>
  <c r="Q9" i="21"/>
  <c r="P10" i="21"/>
  <c r="Q10" i="21"/>
  <c r="P11" i="21"/>
  <c r="Q11" i="21"/>
  <c r="P12" i="21"/>
  <c r="R12" i="21" s="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R25" i="21" s="1"/>
  <c r="Q25" i="21"/>
  <c r="P26" i="21"/>
  <c r="R26" i="21" s="1"/>
  <c r="Q26" i="21"/>
  <c r="P27" i="21"/>
  <c r="Q27" i="21"/>
  <c r="P28" i="21"/>
  <c r="Q28" i="21"/>
  <c r="P29" i="21"/>
  <c r="Q29" i="21"/>
  <c r="R29" i="21" s="1"/>
  <c r="P30" i="21"/>
  <c r="R30" i="21" s="1"/>
  <c r="Q30" i="21"/>
  <c r="P31" i="21"/>
  <c r="Q31" i="21"/>
  <c r="P32" i="21"/>
  <c r="Q32" i="21"/>
  <c r="P33" i="21"/>
  <c r="Q33" i="21"/>
  <c r="P34" i="21"/>
  <c r="Q34" i="21"/>
  <c r="P35" i="21"/>
  <c r="Q35" i="21"/>
  <c r="P36" i="21"/>
  <c r="R36" i="21" s="1"/>
  <c r="Q36" i="21"/>
  <c r="P37" i="21"/>
  <c r="R37" i="21" s="1"/>
  <c r="Q37" i="21"/>
  <c r="P38" i="21"/>
  <c r="R38" i="21" s="1"/>
  <c r="Q38" i="21"/>
  <c r="P39" i="21"/>
  <c r="Q39" i="21"/>
  <c r="P40" i="21"/>
  <c r="Q40" i="21"/>
  <c r="P41" i="21"/>
  <c r="Q41" i="21"/>
  <c r="P42" i="21"/>
  <c r="Q42" i="21"/>
  <c r="P43" i="21"/>
  <c r="R43" i="21" s="1"/>
  <c r="Q43" i="21"/>
  <c r="P44" i="21"/>
  <c r="Q44" i="21"/>
  <c r="P45" i="21"/>
  <c r="Q45" i="21"/>
  <c r="P46" i="21"/>
  <c r="Q46" i="21"/>
  <c r="P47" i="21"/>
  <c r="Q47" i="21"/>
  <c r="P48" i="21"/>
  <c r="Q48" i="21"/>
  <c r="P49" i="21"/>
  <c r="Q49" i="21"/>
  <c r="P50" i="21"/>
  <c r="Q50" i="21"/>
  <c r="P51" i="21"/>
  <c r="Q51" i="21"/>
  <c r="P52" i="21"/>
  <c r="Q52" i="21"/>
  <c r="P53" i="21"/>
  <c r="Q53" i="21"/>
  <c r="P54" i="21"/>
  <c r="Q54" i="21"/>
  <c r="P55" i="21"/>
  <c r="Q55" i="21"/>
  <c r="R55" i="21" s="1"/>
  <c r="P56" i="21"/>
  <c r="R56" i="21" s="1"/>
  <c r="Q56" i="21"/>
  <c r="P57" i="21"/>
  <c r="Q57" i="21"/>
  <c r="P58" i="21"/>
  <c r="Q58" i="21"/>
  <c r="P59" i="21"/>
  <c r="Q59" i="21"/>
  <c r="P60" i="21"/>
  <c r="Q60" i="21"/>
  <c r="P61" i="21"/>
  <c r="Q61" i="21"/>
  <c r="P62" i="21"/>
  <c r="Q62" i="21"/>
  <c r="P63" i="21"/>
  <c r="Q63" i="21"/>
  <c r="P64" i="21"/>
  <c r="Q64" i="21"/>
  <c r="P65" i="21"/>
  <c r="Q65" i="21"/>
  <c r="P66" i="21"/>
  <c r="Q66" i="21"/>
  <c r="P67" i="21"/>
  <c r="Q67" i="21"/>
  <c r="P68" i="21"/>
  <c r="Q68" i="21"/>
  <c r="P69" i="21"/>
  <c r="Q69" i="21"/>
  <c r="P70" i="21"/>
  <c r="Q70" i="21"/>
  <c r="P71" i="21"/>
  <c r="Q71" i="21"/>
  <c r="P72" i="21"/>
  <c r="Q72" i="21"/>
  <c r="P73" i="21"/>
  <c r="Q73" i="21"/>
  <c r="P74" i="21"/>
  <c r="Q74" i="21"/>
  <c r="P75" i="21"/>
  <c r="Q75" i="21"/>
  <c r="P76" i="21"/>
  <c r="Q76" i="21"/>
  <c r="P77" i="21"/>
  <c r="Q77" i="21"/>
  <c r="R77" i="21" s="1"/>
  <c r="P78" i="21"/>
  <c r="Q78" i="21"/>
  <c r="P79" i="21"/>
  <c r="Q79" i="21"/>
  <c r="P80" i="21"/>
  <c r="Q80" i="21"/>
  <c r="P81" i="21"/>
  <c r="Q81" i="21"/>
  <c r="P82" i="21"/>
  <c r="Q82" i="21"/>
  <c r="P83" i="21"/>
  <c r="Q83" i="21"/>
  <c r="R83" i="21" s="1"/>
  <c r="P84" i="21"/>
  <c r="Q84" i="21"/>
  <c r="P85" i="21"/>
  <c r="R85" i="21" s="1"/>
  <c r="Q85" i="21"/>
  <c r="P86" i="21"/>
  <c r="Q86" i="21"/>
  <c r="P87" i="21"/>
  <c r="Q87" i="21"/>
  <c r="P88" i="21"/>
  <c r="Q88" i="21"/>
  <c r="P89" i="21"/>
  <c r="Q89" i="21"/>
  <c r="R89" i="21" s="1"/>
  <c r="P90" i="21"/>
  <c r="Q90" i="21"/>
  <c r="P91" i="21"/>
  <c r="Q91" i="21"/>
  <c r="P92" i="21"/>
  <c r="Q92" i="21"/>
  <c r="P93" i="21"/>
  <c r="Q93" i="21"/>
  <c r="P94" i="21"/>
  <c r="Q94" i="21"/>
  <c r="P95" i="21"/>
  <c r="Q95" i="21"/>
  <c r="P96" i="21"/>
  <c r="Q96" i="21"/>
  <c r="P97" i="21"/>
  <c r="Q97" i="21"/>
  <c r="P98" i="21"/>
  <c r="Q98" i="21"/>
  <c r="P99" i="21"/>
  <c r="Q99" i="21"/>
  <c r="P100" i="21"/>
  <c r="Q100" i="21"/>
  <c r="P101" i="21"/>
  <c r="Q101" i="21"/>
  <c r="P102" i="21"/>
  <c r="Q102" i="21"/>
  <c r="P103" i="21"/>
  <c r="R103" i="21" s="1"/>
  <c r="Q103" i="21"/>
  <c r="P104" i="21"/>
  <c r="Q104" i="21"/>
  <c r="P105" i="21"/>
  <c r="Q105" i="21"/>
  <c r="P106" i="21"/>
  <c r="Q106" i="21"/>
  <c r="P107" i="21"/>
  <c r="Q107" i="21"/>
  <c r="P108" i="21"/>
  <c r="Q108" i="21"/>
  <c r="P109" i="21"/>
  <c r="Q109" i="21"/>
  <c r="P110" i="21"/>
  <c r="Q110" i="21"/>
  <c r="P111" i="21"/>
  <c r="Q111" i="21"/>
  <c r="P112" i="21"/>
  <c r="Q112" i="21"/>
  <c r="P113" i="21"/>
  <c r="Q113" i="21"/>
  <c r="P114" i="21"/>
  <c r="Q114" i="21"/>
  <c r="P115" i="21"/>
  <c r="Q115" i="21"/>
  <c r="P116" i="21"/>
  <c r="Q116" i="21"/>
  <c r="P117" i="21"/>
  <c r="Q117" i="21"/>
  <c r="P118" i="21"/>
  <c r="Q118" i="21"/>
  <c r="P119" i="21"/>
  <c r="Q119" i="21"/>
  <c r="P120" i="21"/>
  <c r="Q120" i="21"/>
  <c r="P121" i="21"/>
  <c r="Q121" i="21"/>
  <c r="P122" i="21"/>
  <c r="R122" i="21" s="1"/>
  <c r="Q122" i="21"/>
  <c r="P123" i="21"/>
  <c r="Q123" i="21"/>
  <c r="P124" i="21"/>
  <c r="Q124" i="21"/>
  <c r="P125" i="21"/>
  <c r="Q125" i="21"/>
  <c r="P126" i="21"/>
  <c r="R126" i="21" s="1"/>
  <c r="Q126" i="21"/>
  <c r="P127" i="21"/>
  <c r="R127" i="21" s="1"/>
  <c r="Q127" i="21"/>
  <c r="P128" i="21"/>
  <c r="R128" i="21" s="1"/>
  <c r="Q128" i="21"/>
  <c r="P129" i="21"/>
  <c r="Q129" i="21"/>
  <c r="P130" i="21"/>
  <c r="Q130" i="21"/>
  <c r="P131" i="21"/>
  <c r="Q131" i="21"/>
  <c r="P132" i="21"/>
  <c r="Q132" i="21"/>
  <c r="P133" i="21"/>
  <c r="R133" i="21" s="1"/>
  <c r="Q133" i="21"/>
  <c r="P134" i="21"/>
  <c r="R134" i="21" s="1"/>
  <c r="Q134" i="21"/>
  <c r="P135" i="21"/>
  <c r="Q135" i="21"/>
  <c r="P136" i="21"/>
  <c r="Q136" i="21"/>
  <c r="P137" i="21"/>
  <c r="Q137" i="21"/>
  <c r="P138" i="21"/>
  <c r="Q138" i="21"/>
  <c r="R138" i="21" s="1"/>
  <c r="P139" i="21"/>
  <c r="R139" i="21" s="1"/>
  <c r="Q139" i="21"/>
  <c r="P140" i="21"/>
  <c r="Q140" i="21"/>
  <c r="P141" i="21"/>
  <c r="Q141" i="21"/>
  <c r="P142" i="21"/>
  <c r="Q142" i="21"/>
  <c r="P143" i="21"/>
  <c r="Q143" i="21"/>
  <c r="P144" i="21"/>
  <c r="Q144" i="21"/>
  <c r="P145" i="21"/>
  <c r="Q145" i="21"/>
  <c r="P146" i="21"/>
  <c r="Q146" i="21"/>
  <c r="P147" i="21"/>
  <c r="Q147" i="21"/>
  <c r="P148" i="21"/>
  <c r="Q148" i="21"/>
  <c r="P149" i="21"/>
  <c r="Q149" i="21"/>
  <c r="P150" i="21"/>
  <c r="Q150" i="21"/>
  <c r="P151" i="21"/>
  <c r="Q151" i="21"/>
  <c r="P152" i="21"/>
  <c r="R152" i="21" s="1"/>
  <c r="Q152" i="21"/>
  <c r="P153" i="21"/>
  <c r="Q153" i="21"/>
  <c r="P154" i="21"/>
  <c r="Q154" i="21"/>
  <c r="P155" i="21"/>
  <c r="Q155" i="21"/>
  <c r="P156" i="21"/>
  <c r="Q156" i="21"/>
  <c r="P157" i="21"/>
  <c r="Q157" i="21"/>
  <c r="P158" i="21"/>
  <c r="Q158" i="21"/>
  <c r="P159" i="21"/>
  <c r="Q159" i="21"/>
  <c r="P160" i="21"/>
  <c r="Q160" i="21"/>
  <c r="P161" i="21"/>
  <c r="Q161" i="21"/>
  <c r="P162" i="21"/>
  <c r="Q162" i="21"/>
  <c r="P163" i="21"/>
  <c r="R163" i="21" s="1"/>
  <c r="Q163" i="21"/>
  <c r="P164" i="21"/>
  <c r="Q164" i="21"/>
  <c r="P165" i="21"/>
  <c r="Q165" i="21"/>
  <c r="P166" i="21"/>
  <c r="Q166" i="21"/>
  <c r="P167" i="21"/>
  <c r="Q167" i="21"/>
  <c r="P168" i="21"/>
  <c r="R168" i="21" s="1"/>
  <c r="Q168" i="21"/>
  <c r="P169" i="21"/>
  <c r="Q169" i="21"/>
  <c r="P170" i="21"/>
  <c r="Q170" i="21"/>
  <c r="P171" i="21"/>
  <c r="Q171" i="21"/>
  <c r="P172" i="21"/>
  <c r="Q172" i="21"/>
  <c r="P173" i="21"/>
  <c r="Q173" i="21"/>
  <c r="R173" i="21" s="1"/>
  <c r="P174" i="21"/>
  <c r="Q174" i="21"/>
  <c r="P175" i="21"/>
  <c r="R175" i="21" s="1"/>
  <c r="Q175" i="21"/>
  <c r="P176" i="21"/>
  <c r="Q176" i="21"/>
  <c r="P177" i="21"/>
  <c r="Q177" i="21"/>
  <c r="P178" i="21"/>
  <c r="Q178" i="21"/>
  <c r="P179" i="21"/>
  <c r="Q179" i="21"/>
  <c r="P180" i="21"/>
  <c r="R180" i="21" s="1"/>
  <c r="Q180" i="21"/>
  <c r="P181" i="21"/>
  <c r="Q181" i="21"/>
  <c r="P182" i="21"/>
  <c r="Q182" i="21"/>
  <c r="P183" i="21"/>
  <c r="Q183" i="21"/>
  <c r="P184" i="21"/>
  <c r="Q184" i="21"/>
  <c r="P185" i="21"/>
  <c r="Q185" i="21"/>
  <c r="R185" i="21" s="1"/>
  <c r="P186" i="21"/>
  <c r="Q186" i="21"/>
  <c r="P187" i="21"/>
  <c r="R187" i="21" s="1"/>
  <c r="Q187" i="21"/>
  <c r="P188" i="21"/>
  <c r="Q188" i="21"/>
  <c r="P189" i="21"/>
  <c r="Q189" i="21"/>
  <c r="P190" i="21"/>
  <c r="Q190" i="21"/>
  <c r="P191" i="21"/>
  <c r="Q191" i="21"/>
  <c r="P192" i="21"/>
  <c r="R192" i="21" s="1"/>
  <c r="Q192" i="21"/>
  <c r="P193" i="21"/>
  <c r="Q193" i="21"/>
  <c r="P194" i="21"/>
  <c r="Q194" i="21"/>
  <c r="P195" i="21"/>
  <c r="Q195" i="21"/>
  <c r="P196" i="21"/>
  <c r="Q196" i="21"/>
  <c r="P197" i="21"/>
  <c r="Q197" i="21"/>
  <c r="P198" i="21"/>
  <c r="Q198" i="21"/>
  <c r="P199" i="21"/>
  <c r="R199" i="21" s="1"/>
  <c r="Q199" i="21"/>
  <c r="P200" i="21"/>
  <c r="R200" i="21" s="1"/>
  <c r="Q200" i="21"/>
  <c r="P201" i="21"/>
  <c r="Q201" i="21"/>
  <c r="P202" i="21"/>
  <c r="Q202" i="21"/>
  <c r="P203" i="21"/>
  <c r="Q203" i="21"/>
  <c r="P204" i="21"/>
  <c r="Q204" i="21"/>
  <c r="P205" i="21"/>
  <c r="Q205" i="21"/>
  <c r="P206" i="21"/>
  <c r="Q206" i="21"/>
  <c r="P207" i="21"/>
  <c r="Q207" i="21"/>
  <c r="P208" i="21"/>
  <c r="Q208" i="21"/>
  <c r="P209" i="21"/>
  <c r="Q209" i="21"/>
  <c r="P210" i="21"/>
  <c r="Q210" i="21"/>
  <c r="P211" i="21"/>
  <c r="Q211" i="21"/>
  <c r="P212" i="21"/>
  <c r="Q212" i="21"/>
  <c r="P213" i="21"/>
  <c r="Q213" i="21"/>
  <c r="P214" i="21"/>
  <c r="Q214" i="21"/>
  <c r="P215" i="21"/>
  <c r="Q215" i="21"/>
  <c r="P216" i="21"/>
  <c r="Q216" i="21"/>
  <c r="P217" i="21"/>
  <c r="Q217" i="21"/>
  <c r="P218" i="21"/>
  <c r="R218" i="21" s="1"/>
  <c r="Q218" i="21"/>
  <c r="P219" i="21"/>
  <c r="Q219" i="21"/>
  <c r="P220" i="21"/>
  <c r="Q220" i="21"/>
  <c r="P221" i="21"/>
  <c r="Q221" i="21"/>
  <c r="P222" i="21"/>
  <c r="Q222" i="21"/>
  <c r="P223" i="21"/>
  <c r="Q223" i="21"/>
  <c r="P224" i="21"/>
  <c r="R224" i="21" s="1"/>
  <c r="Q224" i="21"/>
  <c r="P225" i="21"/>
  <c r="Q225" i="21"/>
  <c r="P226" i="21"/>
  <c r="Q226" i="21"/>
  <c r="P227" i="21"/>
  <c r="Q227" i="21"/>
  <c r="P228" i="21"/>
  <c r="Q228" i="21"/>
  <c r="P229" i="21"/>
  <c r="Q229" i="21"/>
  <c r="P230" i="21"/>
  <c r="Q230" i="21"/>
  <c r="P231" i="21"/>
  <c r="Q231" i="21"/>
  <c r="P232" i="21"/>
  <c r="Q232" i="21"/>
  <c r="P233" i="21"/>
  <c r="Q233" i="21"/>
  <c r="P234" i="21"/>
  <c r="Q234" i="21"/>
  <c r="P235" i="21"/>
  <c r="Q235" i="21"/>
  <c r="P236" i="21"/>
  <c r="Q236" i="21"/>
  <c r="P237" i="21"/>
  <c r="Q237" i="21"/>
  <c r="P238" i="21"/>
  <c r="Q238" i="21"/>
  <c r="P239" i="21"/>
  <c r="Q239" i="21"/>
  <c r="P240" i="21"/>
  <c r="Q240" i="21"/>
  <c r="P241" i="21"/>
  <c r="Q241" i="21"/>
  <c r="P242" i="21"/>
  <c r="Q242" i="21"/>
  <c r="P243" i="21"/>
  <c r="Q243" i="21"/>
  <c r="P244" i="21"/>
  <c r="Q244" i="21"/>
  <c r="P245" i="21"/>
  <c r="Q245" i="21"/>
  <c r="R245" i="21" s="1"/>
  <c r="P246" i="21"/>
  <c r="R246" i="21" s="1"/>
  <c r="Q246" i="21"/>
  <c r="P247" i="21"/>
  <c r="Q247" i="21"/>
  <c r="P248" i="21"/>
  <c r="Q248" i="21"/>
  <c r="P249" i="21"/>
  <c r="Q249" i="21"/>
  <c r="P250" i="21"/>
  <c r="Q250" i="21"/>
  <c r="P251" i="21"/>
  <c r="Q251" i="21"/>
  <c r="P252" i="21"/>
  <c r="Q252" i="21"/>
  <c r="P253" i="21"/>
  <c r="R253" i="21" s="1"/>
  <c r="Q253" i="21"/>
  <c r="P254" i="21"/>
  <c r="R254" i="21" s="1"/>
  <c r="Q254" i="21"/>
  <c r="P255" i="21"/>
  <c r="Q255" i="21"/>
  <c r="P256" i="21"/>
  <c r="Q256" i="21"/>
  <c r="P257" i="21"/>
  <c r="Q257" i="21"/>
  <c r="R257" i="21" s="1"/>
  <c r="P258" i="21"/>
  <c r="Q258" i="21"/>
  <c r="P259" i="21"/>
  <c r="R259" i="21" s="1"/>
  <c r="Q259" i="21"/>
  <c r="P260" i="21"/>
  <c r="Q260" i="21"/>
  <c r="P261" i="21"/>
  <c r="Q261" i="21"/>
  <c r="P262" i="21"/>
  <c r="Q262" i="21"/>
  <c r="P263" i="21"/>
  <c r="Q263" i="21"/>
  <c r="P264" i="21"/>
  <c r="R264" i="21" s="1"/>
  <c r="Q264" i="21"/>
  <c r="P265" i="21"/>
  <c r="R265" i="21" s="1"/>
  <c r="Q265" i="21"/>
  <c r="P266" i="21"/>
  <c r="Q266" i="21"/>
  <c r="P267" i="21"/>
  <c r="Q267" i="21"/>
  <c r="P268" i="21"/>
  <c r="Q268" i="21"/>
  <c r="P269" i="21"/>
  <c r="Q269" i="21"/>
  <c r="P270" i="21"/>
  <c r="Q270" i="21"/>
  <c r="P271" i="21"/>
  <c r="Q271" i="21"/>
  <c r="P272" i="21"/>
  <c r="Q272" i="21"/>
  <c r="P273" i="21"/>
  <c r="Q273" i="21"/>
  <c r="P274" i="21"/>
  <c r="Q274" i="21"/>
  <c r="P275" i="21"/>
  <c r="Q275" i="21"/>
  <c r="P276" i="21"/>
  <c r="Q276" i="21"/>
  <c r="P277" i="21"/>
  <c r="Q277" i="21"/>
  <c r="P278" i="21"/>
  <c r="Q278" i="21"/>
  <c r="P279" i="21"/>
  <c r="Q279" i="21"/>
  <c r="P280" i="21"/>
  <c r="Q280" i="21"/>
  <c r="P281" i="21"/>
  <c r="Q281" i="21"/>
  <c r="P282" i="21"/>
  <c r="Q282" i="21"/>
  <c r="P283" i="21"/>
  <c r="Q283" i="21"/>
  <c r="P284" i="21"/>
  <c r="Q284" i="21"/>
  <c r="P285" i="21"/>
  <c r="Q285" i="21"/>
  <c r="P286" i="21"/>
  <c r="Q286" i="21"/>
  <c r="P287" i="21"/>
  <c r="Q287" i="21"/>
  <c r="P288" i="21"/>
  <c r="Q288" i="21"/>
  <c r="P289" i="21"/>
  <c r="Q289" i="21"/>
  <c r="R289" i="21" s="1"/>
  <c r="P290" i="21"/>
  <c r="R290" i="21" s="1"/>
  <c r="Q290" i="21"/>
  <c r="P291" i="21"/>
  <c r="Q291" i="21"/>
  <c r="P292" i="21"/>
  <c r="Q292" i="21"/>
  <c r="P293" i="21"/>
  <c r="Q293" i="21"/>
  <c r="P294" i="21"/>
  <c r="Q294" i="21"/>
  <c r="P295" i="21"/>
  <c r="Q295" i="21"/>
  <c r="P296" i="21"/>
  <c r="R296" i="21" s="1"/>
  <c r="Q296" i="21"/>
  <c r="P297" i="21"/>
  <c r="Q297" i="21"/>
  <c r="P298" i="21"/>
  <c r="Q298" i="21"/>
  <c r="P299" i="21"/>
  <c r="Q299" i="21"/>
  <c r="P300" i="21"/>
  <c r="Q300" i="21"/>
  <c r="P301" i="21"/>
  <c r="Q301" i="21"/>
  <c r="P302" i="21"/>
  <c r="R302" i="21" s="1"/>
  <c r="Q302" i="21"/>
  <c r="P303" i="21"/>
  <c r="Q303" i="21"/>
  <c r="P304" i="21"/>
  <c r="Q304" i="21"/>
  <c r="P305" i="21"/>
  <c r="Q305" i="21"/>
  <c r="P306" i="21"/>
  <c r="Q306" i="21"/>
  <c r="P307" i="21"/>
  <c r="R307" i="21" s="1"/>
  <c r="Q307" i="21"/>
  <c r="R281" i="21"/>
  <c r="R242" i="21"/>
  <c r="R137" i="21"/>
  <c r="R61" i="21"/>
  <c r="R73" i="21"/>
  <c r="P8" i="21"/>
  <c r="R53" i="21"/>
  <c r="R65" i="21"/>
  <c r="R141" i="21"/>
  <c r="R142" i="21"/>
  <c r="R154" i="21"/>
  <c r="R9" i="21"/>
  <c r="R10" i="21"/>
  <c r="R23" i="21"/>
  <c r="R24" i="21"/>
  <c r="R34" i="21"/>
  <c r="R41" i="21"/>
  <c r="R46" i="21"/>
  <c r="R47" i="21"/>
  <c r="R58" i="21"/>
  <c r="R64" i="21"/>
  <c r="R70" i="21"/>
  <c r="R76" i="21"/>
  <c r="R82" i="21"/>
  <c r="R94" i="21"/>
  <c r="R95" i="21"/>
  <c r="R96" i="21"/>
  <c r="R101" i="21"/>
  <c r="R102" i="21"/>
  <c r="R107" i="21"/>
  <c r="R113" i="21"/>
  <c r="R130" i="21"/>
  <c r="R148" i="21"/>
  <c r="R149" i="21"/>
  <c r="R156" i="21"/>
  <c r="R161" i="21"/>
  <c r="R197" i="21"/>
  <c r="R201" i="21"/>
  <c r="R202" i="21"/>
  <c r="R208" i="21"/>
  <c r="R209" i="21"/>
  <c r="R212" i="21"/>
  <c r="R213" i="21"/>
  <c r="R219" i="21"/>
  <c r="R220" i="21"/>
  <c r="R225" i="21"/>
  <c r="R226" i="21"/>
  <c r="R227" i="21"/>
  <c r="R232" i="21"/>
  <c r="R233" i="21"/>
  <c r="R234" i="21"/>
  <c r="R235" i="21"/>
  <c r="R286" i="21"/>
  <c r="R288" i="21"/>
  <c r="R294" i="21"/>
  <c r="R295" i="21"/>
  <c r="R297" i="21"/>
  <c r="R303" i="21"/>
  <c r="Q8" i="21"/>
  <c r="AD6" i="53"/>
  <c r="AC6" i="53"/>
  <c r="Q7" i="21"/>
  <c r="P7" i="21"/>
  <c r="R18" i="21" l="1"/>
  <c r="R179" i="21"/>
  <c r="R112" i="21"/>
  <c r="R260" i="21"/>
  <c r="R251" i="21"/>
  <c r="R146" i="21"/>
  <c r="R78" i="21"/>
  <c r="R108" i="21"/>
  <c r="R267" i="21"/>
  <c r="R258" i="21"/>
  <c r="R247" i="21"/>
  <c r="R230" i="21"/>
  <c r="R221" i="21"/>
  <c r="R206" i="21"/>
  <c r="R198" i="21"/>
  <c r="R186" i="21"/>
  <c r="R174" i="21"/>
  <c r="R162" i="21"/>
  <c r="R136" i="21"/>
  <c r="R88" i="21"/>
  <c r="R66" i="21"/>
  <c r="R31" i="21"/>
  <c r="R97" i="21"/>
  <c r="R153" i="21"/>
  <c r="R304" i="21"/>
  <c r="R241" i="21"/>
  <c r="R132" i="21"/>
  <c r="R52" i="21"/>
  <c r="R167" i="21"/>
  <c r="R164" i="21"/>
  <c r="R17" i="21"/>
  <c r="R291" i="21"/>
  <c r="R207" i="21"/>
  <c r="R214" i="21"/>
  <c r="R48" i="21"/>
  <c r="R125" i="21"/>
  <c r="R228" i="21"/>
  <c r="R204" i="21"/>
  <c r="R67" i="21"/>
  <c r="R287" i="21"/>
  <c r="R42" i="21"/>
  <c r="R301" i="21"/>
  <c r="R124" i="21"/>
  <c r="R188" i="21"/>
  <c r="R131" i="21"/>
  <c r="R32" i="21"/>
  <c r="R106" i="21"/>
  <c r="R109" i="21"/>
  <c r="R49" i="21"/>
  <c r="R182" i="21"/>
  <c r="R170" i="21"/>
  <c r="R158" i="21"/>
  <c r="R236" i="21"/>
  <c r="R147" i="21"/>
  <c r="R155" i="21"/>
  <c r="R215" i="21"/>
  <c r="R231" i="21"/>
  <c r="R293" i="21"/>
  <c r="R203" i="21"/>
  <c r="R84" i="21"/>
  <c r="R54" i="21"/>
  <c r="R20" i="21"/>
  <c r="R79" i="21"/>
  <c r="R193" i="21"/>
  <c r="R181" i="21"/>
  <c r="R169" i="21"/>
  <c r="R157" i="21"/>
  <c r="R266" i="21"/>
  <c r="R252" i="21"/>
  <c r="R60" i="21"/>
  <c r="R269" i="21"/>
  <c r="R191" i="21"/>
  <c r="R90" i="21"/>
  <c r="R176" i="21"/>
  <c r="R222" i="21"/>
  <c r="R100" i="21"/>
  <c r="R239" i="21"/>
  <c r="R248" i="21"/>
  <c r="R71" i="21"/>
  <c r="R292" i="21"/>
  <c r="R240" i="21"/>
  <c r="R59" i="21"/>
  <c r="R33" i="21"/>
  <c r="R143" i="21"/>
  <c r="R40" i="21"/>
  <c r="R72" i="21"/>
  <c r="R19" i="21"/>
  <c r="R39" i="21"/>
  <c r="R91" i="21"/>
  <c r="R44" i="21"/>
  <c r="R145" i="21"/>
  <c r="R298" i="21"/>
  <c r="R300" i="21"/>
  <c r="R299" i="21"/>
  <c r="R306" i="21"/>
  <c r="R305" i="21"/>
  <c r="R279" i="21"/>
  <c r="R275" i="21"/>
  <c r="R273" i="21"/>
  <c r="R285" i="21"/>
  <c r="R274" i="21"/>
  <c r="R268" i="21"/>
  <c r="R280" i="21"/>
  <c r="R271" i="21"/>
  <c r="R284" i="21"/>
  <c r="R283" i="21"/>
  <c r="R276" i="21"/>
  <c r="R272" i="21"/>
  <c r="R270" i="21"/>
  <c r="R278" i="21"/>
  <c r="R277" i="21"/>
  <c r="R282" i="21"/>
  <c r="R261" i="21"/>
  <c r="R262" i="21"/>
  <c r="R238" i="21"/>
  <c r="R255" i="21"/>
  <c r="R249" i="21"/>
  <c r="R243" i="21"/>
  <c r="R237" i="21"/>
  <c r="R250" i="21"/>
  <c r="R244" i="21"/>
  <c r="R256" i="21"/>
  <c r="R229" i="21"/>
  <c r="R211" i="21"/>
  <c r="R210" i="21"/>
  <c r="R217" i="21"/>
  <c r="R205" i="21"/>
  <c r="R216" i="21"/>
  <c r="R223" i="21"/>
  <c r="R196" i="21"/>
  <c r="R195" i="21"/>
  <c r="R189" i="21"/>
  <c r="R183" i="21"/>
  <c r="R177" i="21"/>
  <c r="R171" i="21"/>
  <c r="R165" i="21"/>
  <c r="R159" i="21"/>
  <c r="R178" i="21"/>
  <c r="R160" i="21"/>
  <c r="R166" i="21"/>
  <c r="R172" i="21"/>
  <c r="R184" i="21"/>
  <c r="R190" i="21"/>
  <c r="R194" i="21"/>
  <c r="R151" i="21"/>
  <c r="R150" i="21"/>
  <c r="R144" i="21"/>
  <c r="R140" i="21"/>
  <c r="R129" i="21"/>
  <c r="R135" i="21"/>
  <c r="R114" i="21"/>
  <c r="R115" i="21"/>
  <c r="R116" i="21"/>
  <c r="R123" i="21"/>
  <c r="R120" i="21"/>
  <c r="R117" i="21"/>
  <c r="R121" i="21"/>
  <c r="R119" i="21"/>
  <c r="R118" i="21"/>
  <c r="R93" i="21"/>
  <c r="R69" i="21"/>
  <c r="R45" i="21"/>
  <c r="R104" i="21"/>
  <c r="R86" i="21"/>
  <c r="R50" i="21"/>
  <c r="R111" i="21"/>
  <c r="R87" i="21"/>
  <c r="R75" i="21"/>
  <c r="R51" i="21"/>
  <c r="R110" i="21"/>
  <c r="R92" i="21"/>
  <c r="R80" i="21"/>
  <c r="R68" i="21"/>
  <c r="R105" i="21"/>
  <c r="R81" i="21"/>
  <c r="R63" i="21"/>
  <c r="R98" i="21"/>
  <c r="R74" i="21"/>
  <c r="R99" i="21"/>
  <c r="R57" i="21"/>
  <c r="R62" i="21"/>
  <c r="R35" i="21"/>
  <c r="R28" i="21"/>
  <c r="R27" i="21"/>
  <c r="R21" i="21"/>
  <c r="R22" i="21"/>
  <c r="R16" i="21"/>
  <c r="R13" i="21"/>
  <c r="R11" i="21"/>
  <c r="R15" i="21"/>
  <c r="R14" i="21"/>
  <c r="AD308" i="53"/>
  <c r="R8" i="21"/>
  <c r="Q308" i="21"/>
  <c r="R263" i="21"/>
  <c r="W6" i="53"/>
  <c r="Q4" i="50"/>
  <c r="O5" i="50"/>
  <c r="R308" i="21" l="1"/>
  <c r="R6" i="21" s="1"/>
  <c r="E3" i="57"/>
  <c r="K111" i="9" l="1"/>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M8" i="29" l="1"/>
  <c r="T8" i="29" s="1"/>
  <c r="S5" i="29"/>
  <c r="R5" i="29"/>
  <c r="R4" i="29"/>
  <c r="M10" i="29" l="1"/>
  <c r="A2" i="29"/>
  <c r="K12" i="50" l="1"/>
  <c r="G12" i="50" s="1"/>
  <c r="A253" i="55" l="1"/>
  <c r="A2" i="55" l="1"/>
  <c r="B1" i="57" s="1"/>
  <c r="A2" i="4"/>
  <c r="A2" i="21"/>
  <c r="A2" i="9"/>
  <c r="A2" i="3"/>
  <c r="A2" i="2"/>
  <c r="A2" i="53"/>
  <c r="X6" i="53"/>
  <c r="T2" i="45"/>
  <c r="B27" i="45"/>
  <c r="B25" i="45"/>
  <c r="C4" i="45"/>
  <c r="U25" i="45" l="1"/>
  <c r="U21" i="45"/>
  <c r="P6" i="3"/>
  <c r="O6" i="3"/>
  <c r="N6" i="3"/>
  <c r="Q6" i="3"/>
  <c r="N5" i="55" l="1"/>
  <c r="Z308" i="53"/>
  <c r="D308" i="53"/>
  <c r="E308" i="53"/>
  <c r="M7" i="29" l="1"/>
  <c r="N3" i="9"/>
  <c r="AB6" i="53" l="1"/>
  <c r="AA6" i="53"/>
  <c r="C6" i="53"/>
  <c r="P6" i="21"/>
  <c r="F5" i="21"/>
  <c r="E6" i="29"/>
  <c r="F6" i="29"/>
  <c r="G6" i="29"/>
  <c r="H6" i="29"/>
  <c r="I6" i="29"/>
  <c r="J6" i="29"/>
  <c r="K6" i="29"/>
  <c r="D6" i="29"/>
  <c r="K4" i="29"/>
  <c r="E4" i="29"/>
  <c r="F4" i="29"/>
  <c r="G4" i="29"/>
  <c r="H4" i="29"/>
  <c r="I4" i="29"/>
  <c r="J4" i="29"/>
  <c r="E5" i="29"/>
  <c r="F5" i="29"/>
  <c r="G5" i="29"/>
  <c r="H5" i="29"/>
  <c r="I5" i="29"/>
  <c r="J5" i="29"/>
  <c r="D5" i="29"/>
  <c r="D4" i="29"/>
  <c r="S303" i="21" l="1"/>
  <c r="S23" i="21"/>
  <c r="S192" i="21"/>
  <c r="S102" i="21"/>
  <c r="S58" i="21"/>
  <c r="S89" i="21"/>
  <c r="S224" i="21"/>
  <c r="S65" i="21"/>
  <c r="S246" i="21"/>
  <c r="S213" i="21"/>
  <c r="S133" i="21"/>
  <c r="S141" i="21"/>
  <c r="S53" i="21"/>
  <c r="S127" i="21"/>
  <c r="S94" i="21"/>
  <c r="S46" i="21"/>
  <c r="S138" i="21"/>
  <c r="S180" i="21"/>
  <c r="S10" i="21"/>
  <c r="S9" i="21"/>
  <c r="S77" i="21"/>
  <c r="S200" i="21"/>
  <c r="S55" i="21"/>
  <c r="S218" i="21"/>
  <c r="S156" i="21"/>
  <c r="S85" i="21"/>
  <c r="S295" i="21"/>
  <c r="S307" i="21"/>
  <c r="S103" i="21"/>
  <c r="S83" i="21"/>
  <c r="S12" i="21"/>
  <c r="S95" i="21"/>
  <c r="S152" i="21"/>
  <c r="S302" i="21"/>
  <c r="S61" i="21"/>
  <c r="S29" i="21"/>
  <c r="S168" i="21"/>
  <c r="S286" i="21"/>
  <c r="S134" i="21"/>
  <c r="S96" i="21"/>
  <c r="S37" i="21"/>
  <c r="S294" i="21"/>
  <c r="S259" i="21"/>
  <c r="S43" i="21"/>
  <c r="S296" i="21"/>
  <c r="S288" i="21"/>
  <c r="S232" i="21"/>
  <c r="S36" i="21"/>
  <c r="S126" i="21"/>
  <c r="S289" i="21"/>
  <c r="S233" i="21"/>
  <c r="S128" i="21"/>
  <c r="S197" i="21"/>
  <c r="S122" i="21"/>
  <c r="S47" i="21"/>
  <c r="S25" i="21"/>
  <c r="S226" i="21"/>
  <c r="S199" i="21"/>
  <c r="S185" i="21"/>
  <c r="S26" i="21"/>
  <c r="S242" i="21"/>
  <c r="S163" i="21"/>
  <c r="S225" i="21"/>
  <c r="S148" i="21"/>
  <c r="S208" i="21"/>
  <c r="S235" i="21"/>
  <c r="S257" i="21"/>
  <c r="S142" i="21"/>
  <c r="S56" i="21"/>
  <c r="S64" i="21"/>
  <c r="S38" i="21"/>
  <c r="S154" i="21"/>
  <c r="S149" i="21"/>
  <c r="S202" i="21"/>
  <c r="S187" i="21"/>
  <c r="S107" i="21"/>
  <c r="S201" i="21"/>
  <c r="S41" i="21"/>
  <c r="S34" i="21"/>
  <c r="S219" i="21"/>
  <c r="S245" i="21"/>
  <c r="S209" i="21"/>
  <c r="S227" i="21"/>
  <c r="S73" i="21"/>
  <c r="S30" i="21"/>
  <c r="S137" i="21"/>
  <c r="S212" i="21"/>
  <c r="S113" i="21"/>
  <c r="S175" i="21"/>
  <c r="S161" i="21"/>
  <c r="S70" i="21"/>
  <c r="S264" i="21"/>
  <c r="S220" i="21"/>
  <c r="S101" i="21"/>
  <c r="S173" i="21"/>
  <c r="S281" i="21"/>
  <c r="S82" i="21"/>
  <c r="S254" i="21"/>
  <c r="S234" i="21"/>
  <c r="S253" i="21"/>
  <c r="S297" i="21"/>
  <c r="S24" i="21"/>
  <c r="S139" i="21"/>
  <c r="S130" i="21"/>
  <c r="S290" i="21"/>
  <c r="S265" i="21"/>
  <c r="S76" i="21"/>
  <c r="S80" i="21"/>
  <c r="S68" i="21"/>
  <c r="S270" i="21"/>
  <c r="S131" i="21"/>
  <c r="S125" i="21"/>
  <c r="S160" i="21"/>
  <c r="S222" i="21"/>
  <c r="S247" i="21"/>
  <c r="S123" i="21"/>
  <c r="S44" i="21"/>
  <c r="S241" i="21"/>
  <c r="S230" i="21"/>
  <c r="S159" i="21"/>
  <c r="S90" i="21"/>
  <c r="S267" i="21"/>
  <c r="S115" i="21"/>
  <c r="S39" i="21"/>
  <c r="S153" i="21"/>
  <c r="S81" i="21"/>
  <c r="S277" i="21"/>
  <c r="S106" i="21"/>
  <c r="S88" i="21"/>
  <c r="S177" i="21"/>
  <c r="S60" i="21"/>
  <c r="S146" i="21"/>
  <c r="S306" i="21"/>
  <c r="S243" i="21"/>
  <c r="S215" i="21"/>
  <c r="S198" i="21"/>
  <c r="S279" i="21"/>
  <c r="S109" i="21"/>
  <c r="S78" i="21"/>
  <c r="S283" i="21"/>
  <c r="S304" i="21"/>
  <c r="S140" i="21"/>
  <c r="S249" i="21"/>
  <c r="S214" i="21"/>
  <c r="S305" i="21"/>
  <c r="S248" i="21"/>
  <c r="S189" i="21"/>
  <c r="S50" i="21"/>
  <c r="S274" i="21"/>
  <c r="S228" i="21"/>
  <c r="S263" i="21"/>
  <c r="S195" i="21"/>
  <c r="S157" i="21"/>
  <c r="S112" i="21"/>
  <c r="S150" i="21"/>
  <c r="S59" i="21"/>
  <c r="S162" i="21"/>
  <c r="S8" i="21"/>
  <c r="S223" i="21"/>
  <c r="S181" i="21"/>
  <c r="S18" i="21"/>
  <c r="S194" i="21"/>
  <c r="S292" i="21"/>
  <c r="S186" i="21"/>
  <c r="S87" i="21"/>
  <c r="S280" i="21"/>
  <c r="S67" i="21"/>
  <c r="S15" i="21"/>
  <c r="S217" i="21"/>
  <c r="S20" i="21"/>
  <c r="S35" i="21"/>
  <c r="S285" i="21"/>
  <c r="S121" i="21"/>
  <c r="S300" i="21"/>
  <c r="S167" i="21"/>
  <c r="S16" i="21"/>
  <c r="S229" i="21"/>
  <c r="S203" i="21"/>
  <c r="S13" i="21"/>
  <c r="S178" i="21"/>
  <c r="S176" i="21"/>
  <c r="S258" i="21"/>
  <c r="S21" i="21"/>
  <c r="S244" i="21"/>
  <c r="S231" i="21"/>
  <c r="S166" i="21"/>
  <c r="S165" i="21"/>
  <c r="S191" i="21"/>
  <c r="S108" i="21"/>
  <c r="S118" i="21"/>
  <c r="S17" i="21"/>
  <c r="S147" i="21"/>
  <c r="S190" i="21"/>
  <c r="S204" i="21"/>
  <c r="S63" i="21"/>
  <c r="S269" i="21"/>
  <c r="S164" i="21"/>
  <c r="S143" i="21"/>
  <c r="S14" i="21"/>
  <c r="S31" i="21"/>
  <c r="S33" i="21"/>
  <c r="S136" i="21"/>
  <c r="S151" i="21"/>
  <c r="S93" i="21"/>
  <c r="S298" i="21"/>
  <c r="S84" i="21"/>
  <c r="S129" i="21"/>
  <c r="S40" i="21"/>
  <c r="S66" i="21"/>
  <c r="S99" i="21"/>
  <c r="S238" i="21"/>
  <c r="S170" i="21"/>
  <c r="S100" i="21"/>
  <c r="S196" i="21"/>
  <c r="S169" i="21"/>
  <c r="S179" i="21"/>
  <c r="S98" i="21"/>
  <c r="S261" i="21"/>
  <c r="S49" i="21"/>
  <c r="S266" i="21"/>
  <c r="S216" i="21"/>
  <c r="S193" i="21"/>
  <c r="S57" i="21"/>
  <c r="S114" i="21"/>
  <c r="S19" i="21"/>
  <c r="S97" i="21"/>
  <c r="S105" i="21"/>
  <c r="S278" i="21"/>
  <c r="S32" i="21"/>
  <c r="S71" i="21"/>
  <c r="S268" i="21"/>
  <c r="S207" i="21"/>
  <c r="S171" i="21"/>
  <c r="S119" i="21"/>
  <c r="S301" i="21"/>
  <c r="S271" i="21"/>
  <c r="S135" i="21"/>
  <c r="S62" i="21"/>
  <c r="S158" i="21"/>
  <c r="S237" i="21"/>
  <c r="S52" i="21"/>
  <c r="S172" i="21"/>
  <c r="S239" i="21"/>
  <c r="S221" i="21"/>
  <c r="S92" i="21"/>
  <c r="S276" i="21"/>
  <c r="S124" i="21"/>
  <c r="S22" i="21"/>
  <c r="S256" i="21"/>
  <c r="S293" i="21"/>
  <c r="S117" i="21"/>
  <c r="S51" i="21"/>
  <c r="S284" i="21"/>
  <c r="S42" i="21"/>
  <c r="S27" i="21"/>
  <c r="S250" i="21"/>
  <c r="S211" i="21"/>
  <c r="S111" i="21"/>
  <c r="S255" i="21"/>
  <c r="S188" i="21"/>
  <c r="S299" i="21"/>
  <c r="S116" i="21"/>
  <c r="S75" i="21"/>
  <c r="S205" i="21"/>
  <c r="S236" i="21"/>
  <c r="S275" i="21"/>
  <c r="S291" i="21"/>
  <c r="S206" i="21"/>
  <c r="S260" i="21"/>
  <c r="S183" i="21"/>
  <c r="S252" i="21"/>
  <c r="S251" i="21"/>
  <c r="S104" i="21"/>
  <c r="S273" i="21"/>
  <c r="S48" i="21"/>
  <c r="S74" i="21"/>
  <c r="S262" i="21"/>
  <c r="S182" i="21"/>
  <c r="S69" i="21"/>
  <c r="S282" i="21"/>
  <c r="S287" i="21"/>
  <c r="S72" i="21"/>
  <c r="S272" i="21"/>
  <c r="S240" i="21"/>
  <c r="S155" i="21"/>
  <c r="S11" i="21"/>
  <c r="S210" i="21"/>
  <c r="S54" i="21"/>
  <c r="S86" i="21"/>
  <c r="S120" i="21"/>
  <c r="S145" i="21"/>
  <c r="S132" i="21"/>
  <c r="S110" i="21"/>
  <c r="S91" i="21"/>
  <c r="S79" i="21"/>
  <c r="S144" i="21"/>
  <c r="S45" i="21"/>
  <c r="S174" i="21"/>
  <c r="S28" i="21"/>
  <c r="S184" i="21"/>
  <c r="O9" i="29"/>
  <c r="P9" i="29"/>
  <c r="O16" i="29"/>
  <c r="P16" i="29"/>
  <c r="O108" i="29"/>
  <c r="P108" i="29"/>
  <c r="O110" i="29"/>
  <c r="P110" i="29"/>
  <c r="O113" i="29"/>
  <c r="P113" i="29"/>
  <c r="O115" i="29"/>
  <c r="P115" i="29"/>
  <c r="O116" i="29"/>
  <c r="P116" i="29"/>
  <c r="O117" i="29"/>
  <c r="P117" i="29"/>
  <c r="O118" i="29"/>
  <c r="P118" i="29"/>
  <c r="O120" i="29"/>
  <c r="P120" i="29"/>
  <c r="O122" i="29"/>
  <c r="P122" i="29"/>
  <c r="O123" i="29"/>
  <c r="P123" i="29"/>
  <c r="O124" i="29"/>
  <c r="P124" i="29"/>
  <c r="O125" i="29"/>
  <c r="P125" i="29"/>
  <c r="O126" i="29"/>
  <c r="P126" i="29"/>
  <c r="O127" i="29"/>
  <c r="P127" i="29"/>
  <c r="O130" i="29"/>
  <c r="P130" i="29"/>
  <c r="O131" i="29"/>
  <c r="P131" i="29"/>
  <c r="O132" i="29"/>
  <c r="P132" i="29"/>
  <c r="O139" i="29"/>
  <c r="P139" i="29"/>
  <c r="O144" i="29"/>
  <c r="P144" i="29"/>
  <c r="O145" i="29"/>
  <c r="P145" i="29"/>
  <c r="O146" i="29"/>
  <c r="P146" i="29"/>
  <c r="O148" i="29"/>
  <c r="P148" i="29"/>
  <c r="O149" i="29"/>
  <c r="P149" i="29"/>
  <c r="O150" i="29"/>
  <c r="P150" i="29"/>
  <c r="O152" i="29"/>
  <c r="P152" i="29"/>
  <c r="O186" i="29"/>
  <c r="P186" i="29"/>
  <c r="O197" i="29"/>
  <c r="P197" i="29"/>
  <c r="O198" i="29"/>
  <c r="P198" i="29"/>
  <c r="O269" i="29"/>
  <c r="P269" i="29"/>
  <c r="O270" i="29"/>
  <c r="P270" i="29"/>
  <c r="O271" i="29"/>
  <c r="P271" i="29"/>
  <c r="O272" i="29"/>
  <c r="P272" i="29"/>
  <c r="O273" i="29"/>
  <c r="P273" i="29"/>
  <c r="O274" i="29"/>
  <c r="P274" i="29"/>
  <c r="O275" i="29"/>
  <c r="P275" i="29"/>
  <c r="O276" i="29"/>
  <c r="P276" i="29"/>
  <c r="O277" i="29"/>
  <c r="P277" i="29"/>
  <c r="O280" i="29"/>
  <c r="P280" i="29"/>
  <c r="O284" i="29"/>
  <c r="P284" i="29"/>
  <c r="O289" i="29"/>
  <c r="P289" i="29"/>
  <c r="O290" i="29"/>
  <c r="P290" i="29"/>
  <c r="O296" i="29"/>
  <c r="P296" i="29"/>
  <c r="O298" i="29"/>
  <c r="P298" i="29"/>
  <c r="O299" i="29"/>
  <c r="P299" i="29"/>
  <c r="O300" i="29"/>
  <c r="P300" i="29"/>
  <c r="O306" i="29"/>
  <c r="P306" i="29"/>
  <c r="P8" i="29"/>
  <c r="O8" i="29"/>
  <c r="N308" i="2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8" i="9"/>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8" i="3"/>
  <c r="L308" i="9" l="1"/>
  <c r="K308" i="9"/>
  <c r="M9" i="29"/>
  <c r="T9" i="29" s="1"/>
  <c r="T10" i="29"/>
  <c r="M11" i="29"/>
  <c r="T11" i="29" s="1"/>
  <c r="M12" i="29"/>
  <c r="T12" i="29" s="1"/>
  <c r="M13" i="29"/>
  <c r="T13" i="29" s="1"/>
  <c r="M14" i="29"/>
  <c r="T14" i="29" s="1"/>
  <c r="M15" i="29"/>
  <c r="T15" i="29" s="1"/>
  <c r="M16" i="29"/>
  <c r="T16" i="29" s="1"/>
  <c r="M17" i="29"/>
  <c r="T17" i="29" s="1"/>
  <c r="M18" i="29"/>
  <c r="T18" i="29" s="1"/>
  <c r="M19" i="29"/>
  <c r="T19" i="29" s="1"/>
  <c r="M20" i="29"/>
  <c r="T20" i="29" s="1"/>
  <c r="M21" i="29"/>
  <c r="T21" i="29" s="1"/>
  <c r="M22" i="29"/>
  <c r="T22" i="29" s="1"/>
  <c r="M23" i="29"/>
  <c r="T23" i="29" s="1"/>
  <c r="M24" i="29"/>
  <c r="T24" i="29" s="1"/>
  <c r="M25" i="29"/>
  <c r="T25" i="29" s="1"/>
  <c r="M26" i="29"/>
  <c r="T26" i="29" s="1"/>
  <c r="M27" i="29"/>
  <c r="T27" i="29" s="1"/>
  <c r="M28" i="29"/>
  <c r="T28" i="29" s="1"/>
  <c r="M29" i="29"/>
  <c r="T29" i="29" s="1"/>
  <c r="M30" i="29"/>
  <c r="T30" i="29" s="1"/>
  <c r="M31" i="29"/>
  <c r="T31" i="29" s="1"/>
  <c r="M32" i="29"/>
  <c r="T32" i="29" s="1"/>
  <c r="M33" i="29"/>
  <c r="T33" i="29" s="1"/>
  <c r="M34" i="29"/>
  <c r="T34" i="29" s="1"/>
  <c r="M35" i="29"/>
  <c r="T35" i="29" s="1"/>
  <c r="M36" i="29"/>
  <c r="T36" i="29" s="1"/>
  <c r="M37" i="29"/>
  <c r="T37" i="29" s="1"/>
  <c r="M38" i="29"/>
  <c r="T38" i="29" s="1"/>
  <c r="M39" i="29"/>
  <c r="T39" i="29" s="1"/>
  <c r="M40" i="29"/>
  <c r="T40" i="29" s="1"/>
  <c r="M41" i="29"/>
  <c r="T41" i="29" s="1"/>
  <c r="M42" i="29"/>
  <c r="T42" i="29" s="1"/>
  <c r="M43" i="29"/>
  <c r="T43" i="29" s="1"/>
  <c r="M44" i="29"/>
  <c r="T44" i="29" s="1"/>
  <c r="M45" i="29"/>
  <c r="T45" i="29" s="1"/>
  <c r="M46" i="29"/>
  <c r="T46" i="29" s="1"/>
  <c r="M47" i="29"/>
  <c r="T47" i="29" s="1"/>
  <c r="M48" i="29"/>
  <c r="T48" i="29" s="1"/>
  <c r="M49" i="29"/>
  <c r="T49" i="29" s="1"/>
  <c r="M50" i="29"/>
  <c r="T50" i="29" s="1"/>
  <c r="M51" i="29"/>
  <c r="T51" i="29" s="1"/>
  <c r="M52" i="29"/>
  <c r="T52" i="29" s="1"/>
  <c r="M53" i="29"/>
  <c r="T53" i="29" s="1"/>
  <c r="M54" i="29"/>
  <c r="T54" i="29" s="1"/>
  <c r="M55" i="29"/>
  <c r="T55" i="29" s="1"/>
  <c r="M56" i="29"/>
  <c r="T56" i="29" s="1"/>
  <c r="M57" i="29"/>
  <c r="T57" i="29" s="1"/>
  <c r="M58" i="29"/>
  <c r="T58" i="29" s="1"/>
  <c r="M59" i="29"/>
  <c r="T59" i="29" s="1"/>
  <c r="M60" i="29"/>
  <c r="T60" i="29" s="1"/>
  <c r="M61" i="29"/>
  <c r="T61" i="29" s="1"/>
  <c r="M62" i="29"/>
  <c r="T62" i="29" s="1"/>
  <c r="M63" i="29"/>
  <c r="T63" i="29" s="1"/>
  <c r="M64" i="29"/>
  <c r="T64" i="29" s="1"/>
  <c r="M65" i="29"/>
  <c r="T65" i="29" s="1"/>
  <c r="M66" i="29"/>
  <c r="T66" i="29" s="1"/>
  <c r="M67" i="29"/>
  <c r="T67" i="29" s="1"/>
  <c r="M68" i="29"/>
  <c r="T68" i="29" s="1"/>
  <c r="M69" i="29"/>
  <c r="T69" i="29" s="1"/>
  <c r="M70" i="29"/>
  <c r="T70" i="29" s="1"/>
  <c r="M71" i="29"/>
  <c r="T71" i="29" s="1"/>
  <c r="M72" i="29"/>
  <c r="T72" i="29" s="1"/>
  <c r="M73" i="29"/>
  <c r="T73" i="29" s="1"/>
  <c r="M74" i="29"/>
  <c r="T74" i="29" s="1"/>
  <c r="M75" i="29"/>
  <c r="T75" i="29" s="1"/>
  <c r="M76" i="29"/>
  <c r="T76" i="29" s="1"/>
  <c r="M77" i="29"/>
  <c r="T77" i="29" s="1"/>
  <c r="M78" i="29"/>
  <c r="T78" i="29" s="1"/>
  <c r="M79" i="29"/>
  <c r="T79" i="29" s="1"/>
  <c r="M80" i="29"/>
  <c r="T80" i="29" s="1"/>
  <c r="M81" i="29"/>
  <c r="T81" i="29" s="1"/>
  <c r="M82" i="29"/>
  <c r="T82" i="29" s="1"/>
  <c r="M83" i="29"/>
  <c r="T83" i="29" s="1"/>
  <c r="M84" i="29"/>
  <c r="T84" i="29" s="1"/>
  <c r="M85" i="29"/>
  <c r="T85" i="29" s="1"/>
  <c r="M86" i="29"/>
  <c r="T86" i="29" s="1"/>
  <c r="M87" i="29"/>
  <c r="T87" i="29" s="1"/>
  <c r="M88" i="29"/>
  <c r="T88" i="29" s="1"/>
  <c r="M89" i="29"/>
  <c r="T89" i="29" s="1"/>
  <c r="M90" i="29"/>
  <c r="T90" i="29" s="1"/>
  <c r="M91" i="29"/>
  <c r="T91" i="29" s="1"/>
  <c r="M92" i="29"/>
  <c r="T92" i="29" s="1"/>
  <c r="M93" i="29"/>
  <c r="T93" i="29" s="1"/>
  <c r="M94" i="29"/>
  <c r="T94" i="29" s="1"/>
  <c r="M95" i="29"/>
  <c r="T95" i="29" s="1"/>
  <c r="M96" i="29"/>
  <c r="T96" i="29" s="1"/>
  <c r="M97" i="29"/>
  <c r="T97" i="29" s="1"/>
  <c r="M98" i="29"/>
  <c r="T98" i="29" s="1"/>
  <c r="M99" i="29"/>
  <c r="T99" i="29" s="1"/>
  <c r="M100" i="29"/>
  <c r="T100" i="29" s="1"/>
  <c r="M101" i="29"/>
  <c r="T101" i="29" s="1"/>
  <c r="M102" i="29"/>
  <c r="T102" i="29" s="1"/>
  <c r="M103" i="29"/>
  <c r="T103" i="29" s="1"/>
  <c r="M104" i="29"/>
  <c r="T104" i="29" s="1"/>
  <c r="M105" i="29"/>
  <c r="T105" i="29" s="1"/>
  <c r="M106" i="29"/>
  <c r="T106" i="29" s="1"/>
  <c r="M107" i="29"/>
  <c r="T107" i="29" s="1"/>
  <c r="M108" i="29"/>
  <c r="T108" i="29" s="1"/>
  <c r="M109" i="29"/>
  <c r="T109" i="29" s="1"/>
  <c r="M110" i="29"/>
  <c r="T110" i="29" s="1"/>
  <c r="M111" i="29"/>
  <c r="T111" i="29" s="1"/>
  <c r="M112" i="29"/>
  <c r="T112" i="29" s="1"/>
  <c r="M113" i="29"/>
  <c r="T113" i="29" s="1"/>
  <c r="M114" i="29"/>
  <c r="T114" i="29" s="1"/>
  <c r="M115" i="29"/>
  <c r="T115" i="29" s="1"/>
  <c r="M116" i="29"/>
  <c r="T116" i="29" s="1"/>
  <c r="M117" i="29"/>
  <c r="T117" i="29" s="1"/>
  <c r="M118" i="29"/>
  <c r="T118" i="29" s="1"/>
  <c r="M119" i="29"/>
  <c r="T119" i="29" s="1"/>
  <c r="M120" i="29"/>
  <c r="T120" i="29" s="1"/>
  <c r="M121" i="29"/>
  <c r="T121" i="29" s="1"/>
  <c r="M122" i="29"/>
  <c r="T122" i="29" s="1"/>
  <c r="M123" i="29"/>
  <c r="T123" i="29" s="1"/>
  <c r="M124" i="29"/>
  <c r="T124" i="29" s="1"/>
  <c r="M125" i="29"/>
  <c r="T125" i="29" s="1"/>
  <c r="M126" i="29"/>
  <c r="T126" i="29" s="1"/>
  <c r="M127" i="29"/>
  <c r="T127" i="29" s="1"/>
  <c r="M128" i="29"/>
  <c r="T128" i="29" s="1"/>
  <c r="M129" i="29"/>
  <c r="T129" i="29" s="1"/>
  <c r="M130" i="29"/>
  <c r="T130" i="29" s="1"/>
  <c r="M131" i="29"/>
  <c r="T131" i="29" s="1"/>
  <c r="M132" i="29"/>
  <c r="T132" i="29" s="1"/>
  <c r="M133" i="29"/>
  <c r="T133" i="29" s="1"/>
  <c r="M134" i="29"/>
  <c r="T134" i="29" s="1"/>
  <c r="M135" i="29"/>
  <c r="T135" i="29" s="1"/>
  <c r="M136" i="29"/>
  <c r="T136" i="29" s="1"/>
  <c r="M137" i="29"/>
  <c r="T137" i="29" s="1"/>
  <c r="M138" i="29"/>
  <c r="T138" i="29" s="1"/>
  <c r="M139" i="29"/>
  <c r="T139" i="29" s="1"/>
  <c r="M140" i="29"/>
  <c r="T140" i="29" s="1"/>
  <c r="M141" i="29"/>
  <c r="T141" i="29" s="1"/>
  <c r="M142" i="29"/>
  <c r="T142" i="29" s="1"/>
  <c r="M143" i="29"/>
  <c r="T143" i="29" s="1"/>
  <c r="M144" i="29"/>
  <c r="T144" i="29" s="1"/>
  <c r="M145" i="29"/>
  <c r="T145" i="29" s="1"/>
  <c r="M146" i="29"/>
  <c r="T146" i="29" s="1"/>
  <c r="M147" i="29"/>
  <c r="T147" i="29" s="1"/>
  <c r="M148" i="29"/>
  <c r="T148" i="29" s="1"/>
  <c r="M149" i="29"/>
  <c r="T149" i="29" s="1"/>
  <c r="M150" i="29"/>
  <c r="T150" i="29" s="1"/>
  <c r="M151" i="29"/>
  <c r="T151" i="29" s="1"/>
  <c r="M152" i="29"/>
  <c r="T152" i="29" s="1"/>
  <c r="M153" i="29"/>
  <c r="T153" i="29" s="1"/>
  <c r="M154" i="29"/>
  <c r="T154" i="29" s="1"/>
  <c r="M155" i="29"/>
  <c r="T155" i="29" s="1"/>
  <c r="M156" i="29"/>
  <c r="T156" i="29" s="1"/>
  <c r="M157" i="29"/>
  <c r="T157" i="29" s="1"/>
  <c r="M158" i="29"/>
  <c r="T158" i="29" s="1"/>
  <c r="M159" i="29"/>
  <c r="T159" i="29" s="1"/>
  <c r="M160" i="29"/>
  <c r="T160" i="29" s="1"/>
  <c r="M161" i="29"/>
  <c r="T161" i="29" s="1"/>
  <c r="M162" i="29"/>
  <c r="T162" i="29" s="1"/>
  <c r="M163" i="29"/>
  <c r="T163" i="29" s="1"/>
  <c r="M164" i="29"/>
  <c r="T164" i="29" s="1"/>
  <c r="M165" i="29"/>
  <c r="T165" i="29" s="1"/>
  <c r="M166" i="29"/>
  <c r="T166" i="29" s="1"/>
  <c r="M167" i="29"/>
  <c r="T167" i="29" s="1"/>
  <c r="M168" i="29"/>
  <c r="T168" i="29" s="1"/>
  <c r="M169" i="29"/>
  <c r="T169" i="29" s="1"/>
  <c r="M170" i="29"/>
  <c r="T170" i="29" s="1"/>
  <c r="M171" i="29"/>
  <c r="T171" i="29" s="1"/>
  <c r="M172" i="29"/>
  <c r="T172" i="29" s="1"/>
  <c r="M173" i="29"/>
  <c r="T173" i="29" s="1"/>
  <c r="M174" i="29"/>
  <c r="T174" i="29" s="1"/>
  <c r="M175" i="29"/>
  <c r="T175" i="29" s="1"/>
  <c r="M176" i="29"/>
  <c r="T176" i="29" s="1"/>
  <c r="M177" i="29"/>
  <c r="T177" i="29" s="1"/>
  <c r="M178" i="29"/>
  <c r="T178" i="29" s="1"/>
  <c r="M179" i="29"/>
  <c r="T179" i="29" s="1"/>
  <c r="M180" i="29"/>
  <c r="T180" i="29" s="1"/>
  <c r="M181" i="29"/>
  <c r="T181" i="29" s="1"/>
  <c r="M182" i="29"/>
  <c r="T182" i="29" s="1"/>
  <c r="M183" i="29"/>
  <c r="T183" i="29" s="1"/>
  <c r="M184" i="29"/>
  <c r="T184" i="29" s="1"/>
  <c r="M185" i="29"/>
  <c r="T185" i="29" s="1"/>
  <c r="M186" i="29"/>
  <c r="T186" i="29" s="1"/>
  <c r="M187" i="29"/>
  <c r="T187" i="29" s="1"/>
  <c r="M188" i="29"/>
  <c r="T188" i="29" s="1"/>
  <c r="M189" i="29"/>
  <c r="T189" i="29" s="1"/>
  <c r="M190" i="29"/>
  <c r="T190" i="29" s="1"/>
  <c r="M191" i="29"/>
  <c r="T191" i="29" s="1"/>
  <c r="M192" i="29"/>
  <c r="T192" i="29" s="1"/>
  <c r="M193" i="29"/>
  <c r="T193" i="29" s="1"/>
  <c r="M194" i="29"/>
  <c r="T194" i="29" s="1"/>
  <c r="M195" i="29"/>
  <c r="T195" i="29" s="1"/>
  <c r="M196" i="29"/>
  <c r="T196" i="29" s="1"/>
  <c r="M197" i="29"/>
  <c r="T197" i="29" s="1"/>
  <c r="M198" i="29"/>
  <c r="T198" i="29" s="1"/>
  <c r="M199" i="29"/>
  <c r="T199" i="29" s="1"/>
  <c r="M200" i="29"/>
  <c r="T200" i="29" s="1"/>
  <c r="M201" i="29"/>
  <c r="T201" i="29" s="1"/>
  <c r="M202" i="29"/>
  <c r="T202" i="29" s="1"/>
  <c r="M203" i="29"/>
  <c r="T203" i="29" s="1"/>
  <c r="M204" i="29"/>
  <c r="T204" i="29" s="1"/>
  <c r="M205" i="29"/>
  <c r="T205" i="29" s="1"/>
  <c r="M206" i="29"/>
  <c r="T206" i="29" s="1"/>
  <c r="M207" i="29"/>
  <c r="T207" i="29" s="1"/>
  <c r="M208" i="29"/>
  <c r="T208" i="29" s="1"/>
  <c r="M209" i="29"/>
  <c r="T209" i="29" s="1"/>
  <c r="M210" i="29"/>
  <c r="T210" i="29" s="1"/>
  <c r="M211" i="29"/>
  <c r="T211" i="29" s="1"/>
  <c r="M212" i="29"/>
  <c r="T212" i="29" s="1"/>
  <c r="M213" i="29"/>
  <c r="T213" i="29" s="1"/>
  <c r="M214" i="29"/>
  <c r="T214" i="29" s="1"/>
  <c r="M215" i="29"/>
  <c r="T215" i="29" s="1"/>
  <c r="M216" i="29"/>
  <c r="T216" i="29" s="1"/>
  <c r="M217" i="29"/>
  <c r="T217" i="29" s="1"/>
  <c r="M218" i="29"/>
  <c r="T218" i="29" s="1"/>
  <c r="M219" i="29"/>
  <c r="T219" i="29" s="1"/>
  <c r="M220" i="29"/>
  <c r="M221" i="29"/>
  <c r="T221" i="29" s="1"/>
  <c r="M222" i="29"/>
  <c r="T222" i="29" s="1"/>
  <c r="M223" i="29"/>
  <c r="T223" i="29" s="1"/>
  <c r="M224" i="29"/>
  <c r="T224" i="29" s="1"/>
  <c r="M225" i="29"/>
  <c r="T225" i="29" s="1"/>
  <c r="M226" i="29"/>
  <c r="T226" i="29" s="1"/>
  <c r="M227" i="29"/>
  <c r="T227" i="29" s="1"/>
  <c r="M228" i="29"/>
  <c r="T228" i="29" s="1"/>
  <c r="M229" i="29"/>
  <c r="T229" i="29" s="1"/>
  <c r="M230" i="29"/>
  <c r="T230" i="29" s="1"/>
  <c r="M231" i="29"/>
  <c r="T231" i="29" s="1"/>
  <c r="M232" i="29"/>
  <c r="T232" i="29" s="1"/>
  <c r="M233" i="29"/>
  <c r="T233" i="29" s="1"/>
  <c r="M234" i="29"/>
  <c r="T234" i="29" s="1"/>
  <c r="M235" i="29"/>
  <c r="T235" i="29" s="1"/>
  <c r="M236" i="29"/>
  <c r="T236" i="29" s="1"/>
  <c r="M237" i="29"/>
  <c r="T237" i="29" s="1"/>
  <c r="M238" i="29"/>
  <c r="T238" i="29" s="1"/>
  <c r="M239" i="29"/>
  <c r="T239" i="29" s="1"/>
  <c r="M240" i="29"/>
  <c r="T240" i="29" s="1"/>
  <c r="M241" i="29"/>
  <c r="T241" i="29" s="1"/>
  <c r="M242" i="29"/>
  <c r="T242" i="29" s="1"/>
  <c r="M243" i="29"/>
  <c r="T243" i="29" s="1"/>
  <c r="M244" i="29"/>
  <c r="T244" i="29" s="1"/>
  <c r="M245" i="29"/>
  <c r="T245" i="29" s="1"/>
  <c r="M246" i="29"/>
  <c r="T246" i="29" s="1"/>
  <c r="M247" i="29"/>
  <c r="T247" i="29" s="1"/>
  <c r="M248" i="29"/>
  <c r="T248" i="29" s="1"/>
  <c r="M249" i="29"/>
  <c r="T249" i="29" s="1"/>
  <c r="M250" i="29"/>
  <c r="T250" i="29" s="1"/>
  <c r="M251" i="29"/>
  <c r="T251" i="29" s="1"/>
  <c r="M252" i="29"/>
  <c r="T252" i="29" s="1"/>
  <c r="M253" i="29"/>
  <c r="T253" i="29" s="1"/>
  <c r="M254" i="29"/>
  <c r="T254" i="29" s="1"/>
  <c r="M255" i="29"/>
  <c r="T255" i="29" s="1"/>
  <c r="M256" i="29"/>
  <c r="T256" i="29" s="1"/>
  <c r="M257" i="29"/>
  <c r="T257" i="29" s="1"/>
  <c r="M258" i="29"/>
  <c r="T258" i="29" s="1"/>
  <c r="M259" i="29"/>
  <c r="T259" i="29" s="1"/>
  <c r="M260" i="29"/>
  <c r="T260" i="29" s="1"/>
  <c r="M261" i="29"/>
  <c r="T261" i="29" s="1"/>
  <c r="M262" i="29"/>
  <c r="T262" i="29" s="1"/>
  <c r="M263" i="29"/>
  <c r="T263" i="29" s="1"/>
  <c r="M264" i="29"/>
  <c r="T264" i="29" s="1"/>
  <c r="M265" i="29"/>
  <c r="T265" i="29" s="1"/>
  <c r="M266" i="29"/>
  <c r="T266" i="29" s="1"/>
  <c r="M267" i="29"/>
  <c r="T267" i="29" s="1"/>
  <c r="M268" i="29"/>
  <c r="T268" i="29" s="1"/>
  <c r="M269" i="29"/>
  <c r="T269" i="29" s="1"/>
  <c r="M270" i="29"/>
  <c r="T270" i="29" s="1"/>
  <c r="M271" i="29"/>
  <c r="T271" i="29" s="1"/>
  <c r="M272" i="29"/>
  <c r="T272" i="29" s="1"/>
  <c r="M273" i="29"/>
  <c r="T273" i="29" s="1"/>
  <c r="M274" i="29"/>
  <c r="T274" i="29" s="1"/>
  <c r="M275" i="29"/>
  <c r="T275" i="29" s="1"/>
  <c r="M276" i="29"/>
  <c r="T276" i="29" s="1"/>
  <c r="M277" i="29"/>
  <c r="T277" i="29" s="1"/>
  <c r="M278" i="29"/>
  <c r="T278" i="29" s="1"/>
  <c r="M279" i="29"/>
  <c r="T279" i="29" s="1"/>
  <c r="M280" i="29"/>
  <c r="T280" i="29" s="1"/>
  <c r="M281" i="29"/>
  <c r="T281" i="29" s="1"/>
  <c r="M282" i="29"/>
  <c r="T282" i="29" s="1"/>
  <c r="M283" i="29"/>
  <c r="T283" i="29" s="1"/>
  <c r="M284" i="29"/>
  <c r="T284" i="29" s="1"/>
  <c r="M285" i="29"/>
  <c r="T285" i="29" s="1"/>
  <c r="M286" i="29"/>
  <c r="T286" i="29" s="1"/>
  <c r="M287" i="29"/>
  <c r="T287" i="29" s="1"/>
  <c r="M288" i="29"/>
  <c r="T288" i="29" s="1"/>
  <c r="M289" i="29"/>
  <c r="T289" i="29" s="1"/>
  <c r="M290" i="29"/>
  <c r="T290" i="29" s="1"/>
  <c r="M291" i="29"/>
  <c r="T291" i="29" s="1"/>
  <c r="M292" i="29"/>
  <c r="T292" i="29" s="1"/>
  <c r="M293" i="29"/>
  <c r="T293" i="29" s="1"/>
  <c r="M294" i="29"/>
  <c r="T294" i="29" s="1"/>
  <c r="M295" i="29"/>
  <c r="T295" i="29" s="1"/>
  <c r="M296" i="29"/>
  <c r="T296" i="29" s="1"/>
  <c r="M297" i="29"/>
  <c r="T297" i="29" s="1"/>
  <c r="M298" i="29"/>
  <c r="T298" i="29" s="1"/>
  <c r="M299" i="29"/>
  <c r="T299" i="29" s="1"/>
  <c r="M300" i="29"/>
  <c r="T300" i="29" s="1"/>
  <c r="M301" i="29"/>
  <c r="T301" i="29" s="1"/>
  <c r="M302" i="29"/>
  <c r="T302" i="29" s="1"/>
  <c r="M303" i="29"/>
  <c r="T303" i="29" s="1"/>
  <c r="M304" i="29"/>
  <c r="T304" i="29" s="1"/>
  <c r="M305" i="29"/>
  <c r="T305" i="29" s="1"/>
  <c r="M306" i="29"/>
  <c r="T306" i="29" s="1"/>
  <c r="M307" i="29"/>
  <c r="T307" i="29" s="1"/>
  <c r="AE6" i="53"/>
  <c r="X308" i="53"/>
  <c r="Y6" i="53"/>
  <c r="N9" i="3"/>
  <c r="O9" i="3"/>
  <c r="P9" i="3"/>
  <c r="N10" i="3"/>
  <c r="O10" i="3"/>
  <c r="P10" i="3"/>
  <c r="N11" i="3"/>
  <c r="O11" i="3"/>
  <c r="P11" i="3"/>
  <c r="N12" i="3"/>
  <c r="O12" i="3"/>
  <c r="P12" i="3"/>
  <c r="N13" i="3"/>
  <c r="O13" i="3"/>
  <c r="P13" i="3"/>
  <c r="N14" i="3"/>
  <c r="O14" i="3"/>
  <c r="P14" i="3"/>
  <c r="N15" i="3"/>
  <c r="O15" i="3"/>
  <c r="P15" i="3"/>
  <c r="N16" i="3"/>
  <c r="O16" i="3"/>
  <c r="P16" i="3"/>
  <c r="N17" i="3"/>
  <c r="O17" i="3"/>
  <c r="P17" i="3"/>
  <c r="N18" i="3"/>
  <c r="O18" i="3"/>
  <c r="P18" i="3"/>
  <c r="N19" i="3"/>
  <c r="O19" i="3"/>
  <c r="P19" i="3"/>
  <c r="N20" i="3"/>
  <c r="O20" i="3"/>
  <c r="P20" i="3"/>
  <c r="N21" i="3"/>
  <c r="O21" i="3"/>
  <c r="P21" i="3"/>
  <c r="N22" i="3"/>
  <c r="O22" i="3"/>
  <c r="P22" i="3"/>
  <c r="N23" i="3"/>
  <c r="O23" i="3"/>
  <c r="P23" i="3"/>
  <c r="N24" i="3"/>
  <c r="O24" i="3"/>
  <c r="P24" i="3"/>
  <c r="N25" i="3"/>
  <c r="O25" i="3"/>
  <c r="P25" i="3"/>
  <c r="N26" i="3"/>
  <c r="O26" i="3"/>
  <c r="P26" i="3"/>
  <c r="N27" i="3"/>
  <c r="O27" i="3"/>
  <c r="P27" i="3"/>
  <c r="N28" i="3"/>
  <c r="O28" i="3"/>
  <c r="P28" i="3"/>
  <c r="N29" i="3"/>
  <c r="O29" i="3"/>
  <c r="P29" i="3"/>
  <c r="N30" i="3"/>
  <c r="O30" i="3"/>
  <c r="P30" i="3"/>
  <c r="N31" i="3"/>
  <c r="O31" i="3"/>
  <c r="P31" i="3"/>
  <c r="N32" i="3"/>
  <c r="O32" i="3"/>
  <c r="P32" i="3"/>
  <c r="N33" i="3"/>
  <c r="O33" i="3"/>
  <c r="P33" i="3"/>
  <c r="N34" i="3"/>
  <c r="O34" i="3"/>
  <c r="P34" i="3"/>
  <c r="N35" i="3"/>
  <c r="O35" i="3"/>
  <c r="P35" i="3"/>
  <c r="N36" i="3"/>
  <c r="O36" i="3"/>
  <c r="P36" i="3"/>
  <c r="N37" i="3"/>
  <c r="O37" i="3"/>
  <c r="P37" i="3"/>
  <c r="N38" i="3"/>
  <c r="O38" i="3"/>
  <c r="P38" i="3"/>
  <c r="N39" i="3"/>
  <c r="O39" i="3"/>
  <c r="P39" i="3"/>
  <c r="N40" i="3"/>
  <c r="O40" i="3"/>
  <c r="P40" i="3"/>
  <c r="N41" i="3"/>
  <c r="O41" i="3"/>
  <c r="P41" i="3"/>
  <c r="N42" i="3"/>
  <c r="O42" i="3"/>
  <c r="P42" i="3"/>
  <c r="N43" i="3"/>
  <c r="O43" i="3"/>
  <c r="P43" i="3"/>
  <c r="N44" i="3"/>
  <c r="O44" i="3"/>
  <c r="P44" i="3"/>
  <c r="N45" i="3"/>
  <c r="O45" i="3"/>
  <c r="P45" i="3"/>
  <c r="N46" i="3"/>
  <c r="O46" i="3"/>
  <c r="P46" i="3"/>
  <c r="N47" i="3"/>
  <c r="O47" i="3"/>
  <c r="P47" i="3"/>
  <c r="N48" i="3"/>
  <c r="O48" i="3"/>
  <c r="P48" i="3"/>
  <c r="N49" i="3"/>
  <c r="O49" i="3"/>
  <c r="P49" i="3"/>
  <c r="N50" i="3"/>
  <c r="O50" i="3"/>
  <c r="P50" i="3"/>
  <c r="N51" i="3"/>
  <c r="O51" i="3"/>
  <c r="P51" i="3"/>
  <c r="N52" i="3"/>
  <c r="O52" i="3"/>
  <c r="P52" i="3"/>
  <c r="N53" i="3"/>
  <c r="O53" i="3"/>
  <c r="P53" i="3"/>
  <c r="N54" i="3"/>
  <c r="O54" i="3"/>
  <c r="P54" i="3"/>
  <c r="N55" i="3"/>
  <c r="O55" i="3"/>
  <c r="P55" i="3"/>
  <c r="N56" i="3"/>
  <c r="O56" i="3"/>
  <c r="P56" i="3"/>
  <c r="N57" i="3"/>
  <c r="O57" i="3"/>
  <c r="P57" i="3"/>
  <c r="N58" i="3"/>
  <c r="O58" i="3"/>
  <c r="P58" i="3"/>
  <c r="N59" i="3"/>
  <c r="O59" i="3"/>
  <c r="P59" i="3"/>
  <c r="N60" i="3"/>
  <c r="O60" i="3"/>
  <c r="P60" i="3"/>
  <c r="N61" i="3"/>
  <c r="O61" i="3"/>
  <c r="P61" i="3"/>
  <c r="N62" i="3"/>
  <c r="O62" i="3"/>
  <c r="P62" i="3"/>
  <c r="N63" i="3"/>
  <c r="O63" i="3"/>
  <c r="P63" i="3"/>
  <c r="N64" i="3"/>
  <c r="O64" i="3"/>
  <c r="P64" i="3"/>
  <c r="N65" i="3"/>
  <c r="O65" i="3"/>
  <c r="P65" i="3"/>
  <c r="N66" i="3"/>
  <c r="O66" i="3"/>
  <c r="P66" i="3"/>
  <c r="N67" i="3"/>
  <c r="O67" i="3"/>
  <c r="P67" i="3"/>
  <c r="N68" i="3"/>
  <c r="O68" i="3"/>
  <c r="P68" i="3"/>
  <c r="N69" i="3"/>
  <c r="O69" i="3"/>
  <c r="P69" i="3"/>
  <c r="N70" i="3"/>
  <c r="O70" i="3"/>
  <c r="P70" i="3"/>
  <c r="N71" i="3"/>
  <c r="O71" i="3"/>
  <c r="P71" i="3"/>
  <c r="N72" i="3"/>
  <c r="O72" i="3"/>
  <c r="P72" i="3"/>
  <c r="N73" i="3"/>
  <c r="O73" i="3"/>
  <c r="P73" i="3"/>
  <c r="N74" i="3"/>
  <c r="O74" i="3"/>
  <c r="P74" i="3"/>
  <c r="N75" i="3"/>
  <c r="O75" i="3"/>
  <c r="P75" i="3"/>
  <c r="N76" i="3"/>
  <c r="O76" i="3"/>
  <c r="P76" i="3"/>
  <c r="N77" i="3"/>
  <c r="O77" i="3"/>
  <c r="P77" i="3"/>
  <c r="N78" i="3"/>
  <c r="O78" i="3"/>
  <c r="P78" i="3"/>
  <c r="N79" i="3"/>
  <c r="O79" i="3"/>
  <c r="P79" i="3"/>
  <c r="N80" i="3"/>
  <c r="O80" i="3"/>
  <c r="P80" i="3"/>
  <c r="N81" i="3"/>
  <c r="O81" i="3"/>
  <c r="P81" i="3"/>
  <c r="N82" i="3"/>
  <c r="O82" i="3"/>
  <c r="P82" i="3"/>
  <c r="N83" i="3"/>
  <c r="O83" i="3"/>
  <c r="P83" i="3"/>
  <c r="N84" i="3"/>
  <c r="O84" i="3"/>
  <c r="P84" i="3"/>
  <c r="N85" i="3"/>
  <c r="O85" i="3"/>
  <c r="P85" i="3"/>
  <c r="N86" i="3"/>
  <c r="O86" i="3"/>
  <c r="P86" i="3"/>
  <c r="N87" i="3"/>
  <c r="O87" i="3"/>
  <c r="P87" i="3"/>
  <c r="N88" i="3"/>
  <c r="O88" i="3"/>
  <c r="P88" i="3"/>
  <c r="N89" i="3"/>
  <c r="O89" i="3"/>
  <c r="P89" i="3"/>
  <c r="N90" i="3"/>
  <c r="O90" i="3"/>
  <c r="P90" i="3"/>
  <c r="N91" i="3"/>
  <c r="O91" i="3"/>
  <c r="P91" i="3"/>
  <c r="N92" i="3"/>
  <c r="O92" i="3"/>
  <c r="P92" i="3"/>
  <c r="N93" i="3"/>
  <c r="O93" i="3"/>
  <c r="P93" i="3"/>
  <c r="N94" i="3"/>
  <c r="O94" i="3"/>
  <c r="P94" i="3"/>
  <c r="N95" i="3"/>
  <c r="O95" i="3"/>
  <c r="P95" i="3"/>
  <c r="N96" i="3"/>
  <c r="O96" i="3"/>
  <c r="P96" i="3"/>
  <c r="N97" i="3"/>
  <c r="O97" i="3"/>
  <c r="P97" i="3"/>
  <c r="N98" i="3"/>
  <c r="O98" i="3"/>
  <c r="P98" i="3"/>
  <c r="N99" i="3"/>
  <c r="O99" i="3"/>
  <c r="P99" i="3"/>
  <c r="N100" i="3"/>
  <c r="O100" i="3"/>
  <c r="P100" i="3"/>
  <c r="N101" i="3"/>
  <c r="O101" i="3"/>
  <c r="P101" i="3"/>
  <c r="N102" i="3"/>
  <c r="O102" i="3"/>
  <c r="P102" i="3"/>
  <c r="N103" i="3"/>
  <c r="O103" i="3"/>
  <c r="P103" i="3"/>
  <c r="N104" i="3"/>
  <c r="O104" i="3"/>
  <c r="P104" i="3"/>
  <c r="N105" i="3"/>
  <c r="O105" i="3"/>
  <c r="P105" i="3"/>
  <c r="N106" i="3"/>
  <c r="O106" i="3"/>
  <c r="P106" i="3"/>
  <c r="N107" i="3"/>
  <c r="O107" i="3"/>
  <c r="P107" i="3"/>
  <c r="N108" i="3"/>
  <c r="O108" i="3"/>
  <c r="P108" i="3"/>
  <c r="N109" i="3"/>
  <c r="O109" i="3"/>
  <c r="P109" i="3"/>
  <c r="N110" i="3"/>
  <c r="O110" i="3"/>
  <c r="P110" i="3"/>
  <c r="N111" i="3"/>
  <c r="O111" i="3"/>
  <c r="P111" i="3"/>
  <c r="N112" i="3"/>
  <c r="O112" i="3"/>
  <c r="P112" i="3"/>
  <c r="N113" i="3"/>
  <c r="O113" i="3"/>
  <c r="P113" i="3"/>
  <c r="N114" i="3"/>
  <c r="O114" i="3"/>
  <c r="P114" i="3"/>
  <c r="N115" i="3"/>
  <c r="O115" i="3"/>
  <c r="P115" i="3"/>
  <c r="N116" i="3"/>
  <c r="O116" i="3"/>
  <c r="P116" i="3"/>
  <c r="N117" i="3"/>
  <c r="O117" i="3"/>
  <c r="P117" i="3"/>
  <c r="N118" i="3"/>
  <c r="O118" i="3"/>
  <c r="P118" i="3"/>
  <c r="N119" i="3"/>
  <c r="O119" i="3"/>
  <c r="P119" i="3"/>
  <c r="N120" i="3"/>
  <c r="O120" i="3"/>
  <c r="P120" i="3"/>
  <c r="N121" i="3"/>
  <c r="O121" i="3"/>
  <c r="P121" i="3"/>
  <c r="N122" i="3"/>
  <c r="O122" i="3"/>
  <c r="P122" i="3"/>
  <c r="N123" i="3"/>
  <c r="O123" i="3"/>
  <c r="P123" i="3"/>
  <c r="N124" i="3"/>
  <c r="O124" i="3"/>
  <c r="P124" i="3"/>
  <c r="N125" i="3"/>
  <c r="O125" i="3"/>
  <c r="P125" i="3"/>
  <c r="N126" i="3"/>
  <c r="O126" i="3"/>
  <c r="P126" i="3"/>
  <c r="N127" i="3"/>
  <c r="O127" i="3"/>
  <c r="P127" i="3"/>
  <c r="N128" i="3"/>
  <c r="O128" i="3"/>
  <c r="P128" i="3"/>
  <c r="N129" i="3"/>
  <c r="O129" i="3"/>
  <c r="P129" i="3"/>
  <c r="N130" i="3"/>
  <c r="O130" i="3"/>
  <c r="P130" i="3"/>
  <c r="N131" i="3"/>
  <c r="O131" i="3"/>
  <c r="P131" i="3"/>
  <c r="N132" i="3"/>
  <c r="O132" i="3"/>
  <c r="P132" i="3"/>
  <c r="N133" i="3"/>
  <c r="O133" i="3"/>
  <c r="P133" i="3"/>
  <c r="N134" i="3"/>
  <c r="O134" i="3"/>
  <c r="P134" i="3"/>
  <c r="N135" i="3"/>
  <c r="O135" i="3"/>
  <c r="P135" i="3"/>
  <c r="N136" i="3"/>
  <c r="O136" i="3"/>
  <c r="P136" i="3"/>
  <c r="N137" i="3"/>
  <c r="O137" i="3"/>
  <c r="P137" i="3"/>
  <c r="N138" i="3"/>
  <c r="O138" i="3"/>
  <c r="P138" i="3"/>
  <c r="N139" i="3"/>
  <c r="O139" i="3"/>
  <c r="P139" i="3"/>
  <c r="N140" i="3"/>
  <c r="O140" i="3"/>
  <c r="P140" i="3"/>
  <c r="N141" i="3"/>
  <c r="O141" i="3"/>
  <c r="P141" i="3"/>
  <c r="N142" i="3"/>
  <c r="O142" i="3"/>
  <c r="P142" i="3"/>
  <c r="N143" i="3"/>
  <c r="O143" i="3"/>
  <c r="P143" i="3"/>
  <c r="N144" i="3"/>
  <c r="O144" i="3"/>
  <c r="P144" i="3"/>
  <c r="N145" i="3"/>
  <c r="O145" i="3"/>
  <c r="P145" i="3"/>
  <c r="N146" i="3"/>
  <c r="O146" i="3"/>
  <c r="P146" i="3"/>
  <c r="N147" i="3"/>
  <c r="O147" i="3"/>
  <c r="P147" i="3"/>
  <c r="N148" i="3"/>
  <c r="O148" i="3"/>
  <c r="P148" i="3"/>
  <c r="N149" i="3"/>
  <c r="O149" i="3"/>
  <c r="P149" i="3"/>
  <c r="N150" i="3"/>
  <c r="O150" i="3"/>
  <c r="P150" i="3"/>
  <c r="N151" i="3"/>
  <c r="O151" i="3"/>
  <c r="P151" i="3"/>
  <c r="N152" i="3"/>
  <c r="O152" i="3"/>
  <c r="P152" i="3"/>
  <c r="N153" i="3"/>
  <c r="O153" i="3"/>
  <c r="P153" i="3"/>
  <c r="N154" i="3"/>
  <c r="O154" i="3"/>
  <c r="P154" i="3"/>
  <c r="N155" i="3"/>
  <c r="O155" i="3"/>
  <c r="P155" i="3"/>
  <c r="N156" i="3"/>
  <c r="O156" i="3"/>
  <c r="P156" i="3"/>
  <c r="N157" i="3"/>
  <c r="O157" i="3"/>
  <c r="P157" i="3"/>
  <c r="N158" i="3"/>
  <c r="O158" i="3"/>
  <c r="P158" i="3"/>
  <c r="N159" i="3"/>
  <c r="O159" i="3"/>
  <c r="P159" i="3"/>
  <c r="N160" i="3"/>
  <c r="O160" i="3"/>
  <c r="P160" i="3"/>
  <c r="N161" i="3"/>
  <c r="O161" i="3"/>
  <c r="P161" i="3"/>
  <c r="N162" i="3"/>
  <c r="O162" i="3"/>
  <c r="P162" i="3"/>
  <c r="N163" i="3"/>
  <c r="O163" i="3"/>
  <c r="P163" i="3"/>
  <c r="N164" i="3"/>
  <c r="O164" i="3"/>
  <c r="P164" i="3"/>
  <c r="N165" i="3"/>
  <c r="O165" i="3"/>
  <c r="P165" i="3"/>
  <c r="N166" i="3"/>
  <c r="O166" i="3"/>
  <c r="P166" i="3"/>
  <c r="N167" i="3"/>
  <c r="O167" i="3"/>
  <c r="P167" i="3"/>
  <c r="N168" i="3"/>
  <c r="O168" i="3"/>
  <c r="P168" i="3"/>
  <c r="N169" i="3"/>
  <c r="O169" i="3"/>
  <c r="P169" i="3"/>
  <c r="N170" i="3"/>
  <c r="O170" i="3"/>
  <c r="P170" i="3"/>
  <c r="N171" i="3"/>
  <c r="O171" i="3"/>
  <c r="P171" i="3"/>
  <c r="N172" i="3"/>
  <c r="O172" i="3"/>
  <c r="P172" i="3"/>
  <c r="N173" i="3"/>
  <c r="O173" i="3"/>
  <c r="P173" i="3"/>
  <c r="N174" i="3"/>
  <c r="O174" i="3"/>
  <c r="P174" i="3"/>
  <c r="N175" i="3"/>
  <c r="O175" i="3"/>
  <c r="P175" i="3"/>
  <c r="N176" i="3"/>
  <c r="O176" i="3"/>
  <c r="P176" i="3"/>
  <c r="N177" i="3"/>
  <c r="O177" i="3"/>
  <c r="P177" i="3"/>
  <c r="N178" i="3"/>
  <c r="O178" i="3"/>
  <c r="P178" i="3"/>
  <c r="N179" i="3"/>
  <c r="O179" i="3"/>
  <c r="P179" i="3"/>
  <c r="N180" i="3"/>
  <c r="O180" i="3"/>
  <c r="P180" i="3"/>
  <c r="N181" i="3"/>
  <c r="O181" i="3"/>
  <c r="P181" i="3"/>
  <c r="N182" i="3"/>
  <c r="O182" i="3"/>
  <c r="P182" i="3"/>
  <c r="N183" i="3"/>
  <c r="O183" i="3"/>
  <c r="P183" i="3"/>
  <c r="N184" i="3"/>
  <c r="O184" i="3"/>
  <c r="P184" i="3"/>
  <c r="N185" i="3"/>
  <c r="O185" i="3"/>
  <c r="P185" i="3"/>
  <c r="N186" i="3"/>
  <c r="O186" i="3"/>
  <c r="P186" i="3"/>
  <c r="N187" i="3"/>
  <c r="O187" i="3"/>
  <c r="P187" i="3"/>
  <c r="N188" i="3"/>
  <c r="O188" i="3"/>
  <c r="P188" i="3"/>
  <c r="N189" i="3"/>
  <c r="O189" i="3"/>
  <c r="P189" i="3"/>
  <c r="N190" i="3"/>
  <c r="O190" i="3"/>
  <c r="P190" i="3"/>
  <c r="N191" i="3"/>
  <c r="O191" i="3"/>
  <c r="P191" i="3"/>
  <c r="N192" i="3"/>
  <c r="O192" i="3"/>
  <c r="P192" i="3"/>
  <c r="N193" i="3"/>
  <c r="O193" i="3"/>
  <c r="P193" i="3"/>
  <c r="N194" i="3"/>
  <c r="O194" i="3"/>
  <c r="P194" i="3"/>
  <c r="N195" i="3"/>
  <c r="O195" i="3"/>
  <c r="P195" i="3"/>
  <c r="N196" i="3"/>
  <c r="O196" i="3"/>
  <c r="P196" i="3"/>
  <c r="N197" i="3"/>
  <c r="O197" i="3"/>
  <c r="P197" i="3"/>
  <c r="N198" i="3"/>
  <c r="O198" i="3"/>
  <c r="P198" i="3"/>
  <c r="N199" i="3"/>
  <c r="O199" i="3"/>
  <c r="P199" i="3"/>
  <c r="N200" i="3"/>
  <c r="O200" i="3"/>
  <c r="P200" i="3"/>
  <c r="N201" i="3"/>
  <c r="O201" i="3"/>
  <c r="P201" i="3"/>
  <c r="N202" i="3"/>
  <c r="O202" i="3"/>
  <c r="P202" i="3"/>
  <c r="N203" i="3"/>
  <c r="O203" i="3"/>
  <c r="P203" i="3"/>
  <c r="N204" i="3"/>
  <c r="O204" i="3"/>
  <c r="P204" i="3"/>
  <c r="N205" i="3"/>
  <c r="O205" i="3"/>
  <c r="P205" i="3"/>
  <c r="N206" i="3"/>
  <c r="O206" i="3"/>
  <c r="P206" i="3"/>
  <c r="N207" i="3"/>
  <c r="O207" i="3"/>
  <c r="P207" i="3"/>
  <c r="N208" i="3"/>
  <c r="O208" i="3"/>
  <c r="P208" i="3"/>
  <c r="N209" i="3"/>
  <c r="O209" i="3"/>
  <c r="P209" i="3"/>
  <c r="N210" i="3"/>
  <c r="O210" i="3"/>
  <c r="P210" i="3"/>
  <c r="N211" i="3"/>
  <c r="O211" i="3"/>
  <c r="P211" i="3"/>
  <c r="N212" i="3"/>
  <c r="O212" i="3"/>
  <c r="P212" i="3"/>
  <c r="N213" i="3"/>
  <c r="O213" i="3"/>
  <c r="P213" i="3"/>
  <c r="N214" i="3"/>
  <c r="O214" i="3"/>
  <c r="P214" i="3"/>
  <c r="N215" i="3"/>
  <c r="O215" i="3"/>
  <c r="P215" i="3"/>
  <c r="N216" i="3"/>
  <c r="O216" i="3"/>
  <c r="P216" i="3"/>
  <c r="N217" i="3"/>
  <c r="O217" i="3"/>
  <c r="P217" i="3"/>
  <c r="N218" i="3"/>
  <c r="O218" i="3"/>
  <c r="P218" i="3"/>
  <c r="N219" i="3"/>
  <c r="O219" i="3"/>
  <c r="P219" i="3"/>
  <c r="N220" i="3"/>
  <c r="O220" i="3"/>
  <c r="P220" i="3"/>
  <c r="N221" i="3"/>
  <c r="O221" i="3"/>
  <c r="P221" i="3"/>
  <c r="N222" i="3"/>
  <c r="O222" i="3"/>
  <c r="P222" i="3"/>
  <c r="N223" i="3"/>
  <c r="O223" i="3"/>
  <c r="P223" i="3"/>
  <c r="N224" i="3"/>
  <c r="O224" i="3"/>
  <c r="P224" i="3"/>
  <c r="N225" i="3"/>
  <c r="O225" i="3"/>
  <c r="P225" i="3"/>
  <c r="N226" i="3"/>
  <c r="O226" i="3"/>
  <c r="P226" i="3"/>
  <c r="N227" i="3"/>
  <c r="O227" i="3"/>
  <c r="P227" i="3"/>
  <c r="N228" i="3"/>
  <c r="O228" i="3"/>
  <c r="P228" i="3"/>
  <c r="N229" i="3"/>
  <c r="O229" i="3"/>
  <c r="P229" i="3"/>
  <c r="N230" i="3"/>
  <c r="O230" i="3"/>
  <c r="P230" i="3"/>
  <c r="N231" i="3"/>
  <c r="O231" i="3"/>
  <c r="P231" i="3"/>
  <c r="N232" i="3"/>
  <c r="O232" i="3"/>
  <c r="P232" i="3"/>
  <c r="N233" i="3"/>
  <c r="O233" i="3"/>
  <c r="P233" i="3"/>
  <c r="N234" i="3"/>
  <c r="O234" i="3"/>
  <c r="P234" i="3"/>
  <c r="N235" i="3"/>
  <c r="O235" i="3"/>
  <c r="P235" i="3"/>
  <c r="N236" i="3"/>
  <c r="O236" i="3"/>
  <c r="P236" i="3"/>
  <c r="N237" i="3"/>
  <c r="O237" i="3"/>
  <c r="P237" i="3"/>
  <c r="N238" i="3"/>
  <c r="O238" i="3"/>
  <c r="P238" i="3"/>
  <c r="N239" i="3"/>
  <c r="O239" i="3"/>
  <c r="P239" i="3"/>
  <c r="N240" i="3"/>
  <c r="O240" i="3"/>
  <c r="P240" i="3"/>
  <c r="N241" i="3"/>
  <c r="O241" i="3"/>
  <c r="P241" i="3"/>
  <c r="N242" i="3"/>
  <c r="O242" i="3"/>
  <c r="P242" i="3"/>
  <c r="N243" i="3"/>
  <c r="O243" i="3"/>
  <c r="P243" i="3"/>
  <c r="N244" i="3"/>
  <c r="O244" i="3"/>
  <c r="P244" i="3"/>
  <c r="N245" i="3"/>
  <c r="O245" i="3"/>
  <c r="P245" i="3"/>
  <c r="N246" i="3"/>
  <c r="O246" i="3"/>
  <c r="P246" i="3"/>
  <c r="N247" i="3"/>
  <c r="O247" i="3"/>
  <c r="P247" i="3"/>
  <c r="N248" i="3"/>
  <c r="O248" i="3"/>
  <c r="P248" i="3"/>
  <c r="N249" i="3"/>
  <c r="O249" i="3"/>
  <c r="P249" i="3"/>
  <c r="N250" i="3"/>
  <c r="O250" i="3"/>
  <c r="P250" i="3"/>
  <c r="N251" i="3"/>
  <c r="O251" i="3"/>
  <c r="P251" i="3"/>
  <c r="N252" i="3"/>
  <c r="O252" i="3"/>
  <c r="P252" i="3"/>
  <c r="N253" i="3"/>
  <c r="O253" i="3"/>
  <c r="P253" i="3"/>
  <c r="N254" i="3"/>
  <c r="O254" i="3"/>
  <c r="P254" i="3"/>
  <c r="N255" i="3"/>
  <c r="O255" i="3"/>
  <c r="P255" i="3"/>
  <c r="N256" i="3"/>
  <c r="O256" i="3"/>
  <c r="P256" i="3"/>
  <c r="N257" i="3"/>
  <c r="O257" i="3"/>
  <c r="P257" i="3"/>
  <c r="N258" i="3"/>
  <c r="O258" i="3"/>
  <c r="P258" i="3"/>
  <c r="N259" i="3"/>
  <c r="O259" i="3"/>
  <c r="P259" i="3"/>
  <c r="N260" i="3"/>
  <c r="O260" i="3"/>
  <c r="P260" i="3"/>
  <c r="N261" i="3"/>
  <c r="O261" i="3"/>
  <c r="P261" i="3"/>
  <c r="N262" i="3"/>
  <c r="O262" i="3"/>
  <c r="P262" i="3"/>
  <c r="N263" i="3"/>
  <c r="O263" i="3"/>
  <c r="P263" i="3"/>
  <c r="N264" i="3"/>
  <c r="O264" i="3"/>
  <c r="P264" i="3"/>
  <c r="N265" i="3"/>
  <c r="O265" i="3"/>
  <c r="P265" i="3"/>
  <c r="N266" i="3"/>
  <c r="O266" i="3"/>
  <c r="P266" i="3"/>
  <c r="N267" i="3"/>
  <c r="O267" i="3"/>
  <c r="P267" i="3"/>
  <c r="N268" i="3"/>
  <c r="O268" i="3"/>
  <c r="P268" i="3"/>
  <c r="N269" i="3"/>
  <c r="O269" i="3"/>
  <c r="P269" i="3"/>
  <c r="N270" i="3"/>
  <c r="O270" i="3"/>
  <c r="P270" i="3"/>
  <c r="N271" i="3"/>
  <c r="O271" i="3"/>
  <c r="P271" i="3"/>
  <c r="N272" i="3"/>
  <c r="O272" i="3"/>
  <c r="P272" i="3"/>
  <c r="N273" i="3"/>
  <c r="O273" i="3"/>
  <c r="P273" i="3"/>
  <c r="N274" i="3"/>
  <c r="O274" i="3"/>
  <c r="P274" i="3"/>
  <c r="N275" i="3"/>
  <c r="O275" i="3"/>
  <c r="P275" i="3"/>
  <c r="N276" i="3"/>
  <c r="O276" i="3"/>
  <c r="P276" i="3"/>
  <c r="N277" i="3"/>
  <c r="O277" i="3"/>
  <c r="P277" i="3"/>
  <c r="N278" i="3"/>
  <c r="O278" i="3"/>
  <c r="P278" i="3"/>
  <c r="N279" i="3"/>
  <c r="O279" i="3"/>
  <c r="P279" i="3"/>
  <c r="N280" i="3"/>
  <c r="O280" i="3"/>
  <c r="P280" i="3"/>
  <c r="N281" i="3"/>
  <c r="O281" i="3"/>
  <c r="P281" i="3"/>
  <c r="N282" i="3"/>
  <c r="O282" i="3"/>
  <c r="P282" i="3"/>
  <c r="N283" i="3"/>
  <c r="O283" i="3"/>
  <c r="P283" i="3"/>
  <c r="N284" i="3"/>
  <c r="O284" i="3"/>
  <c r="P284" i="3"/>
  <c r="N285" i="3"/>
  <c r="O285" i="3"/>
  <c r="P285" i="3"/>
  <c r="N286" i="3"/>
  <c r="O286" i="3"/>
  <c r="P286" i="3"/>
  <c r="N287" i="3"/>
  <c r="O287" i="3"/>
  <c r="P287" i="3"/>
  <c r="N288" i="3"/>
  <c r="O288" i="3"/>
  <c r="P288" i="3"/>
  <c r="N289" i="3"/>
  <c r="O289" i="3"/>
  <c r="P289" i="3"/>
  <c r="N290" i="3"/>
  <c r="O290" i="3"/>
  <c r="P290" i="3"/>
  <c r="N291" i="3"/>
  <c r="O291" i="3"/>
  <c r="P291" i="3"/>
  <c r="N292" i="3"/>
  <c r="O292" i="3"/>
  <c r="P292" i="3"/>
  <c r="N293" i="3"/>
  <c r="O293" i="3"/>
  <c r="P293" i="3"/>
  <c r="N294" i="3"/>
  <c r="O294" i="3"/>
  <c r="P294" i="3"/>
  <c r="N295" i="3"/>
  <c r="O295" i="3"/>
  <c r="P295" i="3"/>
  <c r="N296" i="3"/>
  <c r="O296" i="3"/>
  <c r="P296" i="3"/>
  <c r="N297" i="3"/>
  <c r="O297" i="3"/>
  <c r="P297" i="3"/>
  <c r="N298" i="3"/>
  <c r="O298" i="3"/>
  <c r="P298" i="3"/>
  <c r="N299" i="3"/>
  <c r="O299" i="3"/>
  <c r="P299" i="3"/>
  <c r="N300" i="3"/>
  <c r="O300" i="3"/>
  <c r="P300" i="3"/>
  <c r="N301" i="3"/>
  <c r="O301" i="3"/>
  <c r="P301" i="3"/>
  <c r="N302" i="3"/>
  <c r="O302" i="3"/>
  <c r="P302" i="3"/>
  <c r="N303" i="3"/>
  <c r="O303" i="3"/>
  <c r="P303" i="3"/>
  <c r="N304" i="3"/>
  <c r="O304" i="3"/>
  <c r="P304" i="3"/>
  <c r="N305" i="3"/>
  <c r="O305" i="3"/>
  <c r="P305" i="3"/>
  <c r="N306" i="3"/>
  <c r="O306" i="3"/>
  <c r="P306" i="3"/>
  <c r="N307" i="3"/>
  <c r="O307" i="3"/>
  <c r="P307" i="3"/>
  <c r="O8" i="3"/>
  <c r="N8" i="3"/>
  <c r="S6" i="53"/>
  <c r="T6" i="53"/>
  <c r="U6" i="53"/>
  <c r="V6" i="53"/>
  <c r="R307" i="2"/>
  <c r="Q307" i="2"/>
  <c r="P307" i="2"/>
  <c r="O307" i="2"/>
  <c r="M307" i="2"/>
  <c r="L307" i="2"/>
  <c r="K307" i="2"/>
  <c r="J307" i="2"/>
  <c r="I307" i="2"/>
  <c r="H307" i="2"/>
  <c r="G307" i="2"/>
  <c r="F307" i="2"/>
  <c r="E307" i="2"/>
  <c r="B307" i="55"/>
  <c r="A307" i="55"/>
  <c r="N307" i="55" s="1"/>
  <c r="R306" i="2"/>
  <c r="Q306" i="2"/>
  <c r="P306" i="2"/>
  <c r="O306" i="2"/>
  <c r="M306" i="2"/>
  <c r="L306" i="2"/>
  <c r="K306" i="2"/>
  <c r="J306" i="2"/>
  <c r="I306" i="2"/>
  <c r="H306" i="2"/>
  <c r="G306" i="2"/>
  <c r="F306" i="2"/>
  <c r="E306" i="2"/>
  <c r="B306" i="55"/>
  <c r="A306" i="55"/>
  <c r="N306" i="55" s="1"/>
  <c r="R305" i="2"/>
  <c r="Q305" i="2"/>
  <c r="P305" i="2"/>
  <c r="O305" i="2"/>
  <c r="M305" i="2"/>
  <c r="L305" i="2"/>
  <c r="K305" i="2"/>
  <c r="J305" i="2"/>
  <c r="I305" i="2"/>
  <c r="H305" i="2"/>
  <c r="G305" i="2"/>
  <c r="F305" i="2"/>
  <c r="E305" i="2"/>
  <c r="B305" i="55"/>
  <c r="A305" i="55"/>
  <c r="N305" i="55" s="1"/>
  <c r="R304" i="2"/>
  <c r="Q304" i="2"/>
  <c r="P304" i="2"/>
  <c r="O304" i="2"/>
  <c r="M304" i="2"/>
  <c r="L304" i="2"/>
  <c r="K304" i="2"/>
  <c r="J304" i="2"/>
  <c r="I304" i="2"/>
  <c r="H304" i="2"/>
  <c r="G304" i="2"/>
  <c r="F304" i="2"/>
  <c r="E304" i="2"/>
  <c r="B304" i="55"/>
  <c r="A304" i="55"/>
  <c r="N304" i="55" s="1"/>
  <c r="R303" i="2"/>
  <c r="Q303" i="2"/>
  <c r="P303" i="2"/>
  <c r="O303" i="2"/>
  <c r="M303" i="2"/>
  <c r="L303" i="2"/>
  <c r="K303" i="2"/>
  <c r="J303" i="2"/>
  <c r="I303" i="2"/>
  <c r="H303" i="2"/>
  <c r="G303" i="2"/>
  <c r="F303" i="2"/>
  <c r="E303" i="2"/>
  <c r="B303" i="55"/>
  <c r="A303" i="55"/>
  <c r="N303" i="55" s="1"/>
  <c r="R302" i="2"/>
  <c r="Q302" i="2"/>
  <c r="P302" i="2"/>
  <c r="O302" i="2"/>
  <c r="M302" i="2"/>
  <c r="L302" i="2"/>
  <c r="K302" i="2"/>
  <c r="J302" i="2"/>
  <c r="I302" i="2"/>
  <c r="H302" i="2"/>
  <c r="G302" i="2"/>
  <c r="F302" i="2"/>
  <c r="E302" i="2"/>
  <c r="B302" i="55"/>
  <c r="A302" i="55"/>
  <c r="N302" i="55" s="1"/>
  <c r="R301" i="2"/>
  <c r="Q301" i="2"/>
  <c r="P301" i="2"/>
  <c r="O301" i="2"/>
  <c r="M301" i="2"/>
  <c r="L301" i="2"/>
  <c r="K301" i="2"/>
  <c r="J301" i="2"/>
  <c r="I301" i="2"/>
  <c r="H301" i="2"/>
  <c r="G301" i="2"/>
  <c r="F301" i="2"/>
  <c r="E301" i="2"/>
  <c r="B301" i="55"/>
  <c r="A301" i="55"/>
  <c r="N301" i="55" s="1"/>
  <c r="R300" i="2"/>
  <c r="Q300" i="2"/>
  <c r="P300" i="2"/>
  <c r="O300" i="2"/>
  <c r="M300" i="2"/>
  <c r="L300" i="2"/>
  <c r="K300" i="2"/>
  <c r="J300" i="2"/>
  <c r="I300" i="2"/>
  <c r="H300" i="2"/>
  <c r="G300" i="2"/>
  <c r="F300" i="2"/>
  <c r="E300" i="2"/>
  <c r="B300" i="55"/>
  <c r="A300" i="55"/>
  <c r="N300" i="55" s="1"/>
  <c r="R299" i="2"/>
  <c r="Q299" i="2"/>
  <c r="P299" i="2"/>
  <c r="O299" i="2"/>
  <c r="M299" i="2"/>
  <c r="L299" i="2"/>
  <c r="K299" i="2"/>
  <c r="J299" i="2"/>
  <c r="I299" i="2"/>
  <c r="H299" i="2"/>
  <c r="G299" i="2"/>
  <c r="F299" i="2"/>
  <c r="E299" i="2"/>
  <c r="B299" i="55"/>
  <c r="A299" i="55"/>
  <c r="N299" i="55" s="1"/>
  <c r="R298" i="2"/>
  <c r="Q298" i="2"/>
  <c r="P298" i="2"/>
  <c r="O298" i="2"/>
  <c r="M298" i="2"/>
  <c r="L298" i="2"/>
  <c r="K298" i="2"/>
  <c r="J298" i="2"/>
  <c r="I298" i="2"/>
  <c r="H298" i="2"/>
  <c r="G298" i="2"/>
  <c r="F298" i="2"/>
  <c r="E298" i="2"/>
  <c r="B298" i="55"/>
  <c r="A298" i="55"/>
  <c r="N298" i="55" s="1"/>
  <c r="R297" i="2"/>
  <c r="Q297" i="2"/>
  <c r="P297" i="2"/>
  <c r="O297" i="2"/>
  <c r="M297" i="2"/>
  <c r="L297" i="2"/>
  <c r="K297" i="2"/>
  <c r="J297" i="2"/>
  <c r="I297" i="2"/>
  <c r="H297" i="2"/>
  <c r="G297" i="2"/>
  <c r="F297" i="2"/>
  <c r="E297" i="2"/>
  <c r="B297" i="55"/>
  <c r="A297" i="55"/>
  <c r="N297" i="55" s="1"/>
  <c r="R296" i="2"/>
  <c r="Q296" i="2"/>
  <c r="P296" i="2"/>
  <c r="O296" i="2"/>
  <c r="M296" i="2"/>
  <c r="L296" i="2"/>
  <c r="K296" i="2"/>
  <c r="J296" i="2"/>
  <c r="I296" i="2"/>
  <c r="H296" i="2"/>
  <c r="G296" i="2"/>
  <c r="F296" i="2"/>
  <c r="E296" i="2"/>
  <c r="B296" i="55"/>
  <c r="A296" i="55"/>
  <c r="N296" i="55" s="1"/>
  <c r="R295" i="2"/>
  <c r="Q295" i="2"/>
  <c r="P295" i="2"/>
  <c r="O295" i="2"/>
  <c r="M295" i="2"/>
  <c r="L295" i="2"/>
  <c r="K295" i="2"/>
  <c r="J295" i="2"/>
  <c r="I295" i="2"/>
  <c r="H295" i="2"/>
  <c r="G295" i="2"/>
  <c r="F295" i="2"/>
  <c r="E295" i="2"/>
  <c r="B295" i="55"/>
  <c r="A295" i="55"/>
  <c r="N295" i="55" s="1"/>
  <c r="R294" i="2"/>
  <c r="Q294" i="2"/>
  <c r="P294" i="2"/>
  <c r="O294" i="2"/>
  <c r="M294" i="2"/>
  <c r="L294" i="2"/>
  <c r="K294" i="2"/>
  <c r="J294" i="2"/>
  <c r="I294" i="2"/>
  <c r="H294" i="2"/>
  <c r="G294" i="2"/>
  <c r="F294" i="2"/>
  <c r="E294" i="2"/>
  <c r="B294" i="55"/>
  <c r="A294" i="55"/>
  <c r="N294" i="55" s="1"/>
  <c r="R293" i="2"/>
  <c r="Q293" i="2"/>
  <c r="P293" i="2"/>
  <c r="O293" i="2"/>
  <c r="M293" i="2"/>
  <c r="L293" i="2"/>
  <c r="K293" i="2"/>
  <c r="J293" i="2"/>
  <c r="I293" i="2"/>
  <c r="H293" i="2"/>
  <c r="G293" i="2"/>
  <c r="F293" i="2"/>
  <c r="E293" i="2"/>
  <c r="B293" i="55"/>
  <c r="A293" i="55"/>
  <c r="N293" i="55" s="1"/>
  <c r="R292" i="2"/>
  <c r="Q292" i="2"/>
  <c r="P292" i="2"/>
  <c r="O292" i="2"/>
  <c r="M292" i="2"/>
  <c r="L292" i="2"/>
  <c r="K292" i="2"/>
  <c r="J292" i="2"/>
  <c r="I292" i="2"/>
  <c r="H292" i="2"/>
  <c r="G292" i="2"/>
  <c r="F292" i="2"/>
  <c r="E292" i="2"/>
  <c r="B292" i="55"/>
  <c r="A292" i="55"/>
  <c r="N292" i="55" s="1"/>
  <c r="R291" i="2"/>
  <c r="Q291" i="2"/>
  <c r="P291" i="2"/>
  <c r="O291" i="2"/>
  <c r="M291" i="2"/>
  <c r="L291" i="2"/>
  <c r="K291" i="2"/>
  <c r="J291" i="2"/>
  <c r="I291" i="2"/>
  <c r="H291" i="2"/>
  <c r="G291" i="2"/>
  <c r="F291" i="2"/>
  <c r="E291" i="2"/>
  <c r="B291" i="55"/>
  <c r="A291" i="55"/>
  <c r="N291" i="55" s="1"/>
  <c r="R290" i="2"/>
  <c r="Q290" i="2"/>
  <c r="P290" i="2"/>
  <c r="O290" i="2"/>
  <c r="M290" i="2"/>
  <c r="L290" i="2"/>
  <c r="K290" i="2"/>
  <c r="J290" i="2"/>
  <c r="I290" i="2"/>
  <c r="H290" i="2"/>
  <c r="G290" i="2"/>
  <c r="F290" i="2"/>
  <c r="E290" i="2"/>
  <c r="B290" i="55"/>
  <c r="A290" i="55"/>
  <c r="N290" i="55" s="1"/>
  <c r="R289" i="2"/>
  <c r="Q289" i="2"/>
  <c r="P289" i="2"/>
  <c r="O289" i="2"/>
  <c r="M289" i="2"/>
  <c r="L289" i="2"/>
  <c r="K289" i="2"/>
  <c r="J289" i="2"/>
  <c r="I289" i="2"/>
  <c r="H289" i="2"/>
  <c r="G289" i="2"/>
  <c r="F289" i="2"/>
  <c r="E289" i="2"/>
  <c r="B289" i="55"/>
  <c r="A289" i="55"/>
  <c r="N289" i="55" s="1"/>
  <c r="R288" i="2"/>
  <c r="Q288" i="2"/>
  <c r="P288" i="2"/>
  <c r="O288" i="2"/>
  <c r="M288" i="2"/>
  <c r="L288" i="2"/>
  <c r="K288" i="2"/>
  <c r="J288" i="2"/>
  <c r="I288" i="2"/>
  <c r="H288" i="2"/>
  <c r="G288" i="2"/>
  <c r="F288" i="2"/>
  <c r="E288" i="2"/>
  <c r="B288" i="55"/>
  <c r="A288" i="55"/>
  <c r="N288" i="55" s="1"/>
  <c r="R287" i="2"/>
  <c r="Q287" i="2"/>
  <c r="P287" i="2"/>
  <c r="O287" i="2"/>
  <c r="M287" i="2"/>
  <c r="L287" i="2"/>
  <c r="K287" i="2"/>
  <c r="J287" i="2"/>
  <c r="I287" i="2"/>
  <c r="H287" i="2"/>
  <c r="G287" i="2"/>
  <c r="F287" i="2"/>
  <c r="E287" i="2"/>
  <c r="B287" i="55"/>
  <c r="A287" i="55"/>
  <c r="N287" i="55" s="1"/>
  <c r="R286" i="2"/>
  <c r="Q286" i="2"/>
  <c r="P286" i="2"/>
  <c r="O286" i="2"/>
  <c r="M286" i="2"/>
  <c r="L286" i="2"/>
  <c r="K286" i="2"/>
  <c r="J286" i="2"/>
  <c r="I286" i="2"/>
  <c r="H286" i="2"/>
  <c r="G286" i="2"/>
  <c r="F286" i="2"/>
  <c r="E286" i="2"/>
  <c r="B286" i="55"/>
  <c r="A286" i="55"/>
  <c r="N286" i="55" s="1"/>
  <c r="R285" i="2"/>
  <c r="Q285" i="2"/>
  <c r="P285" i="2"/>
  <c r="O285" i="2"/>
  <c r="M285" i="2"/>
  <c r="L285" i="2"/>
  <c r="K285" i="2"/>
  <c r="J285" i="2"/>
  <c r="I285" i="2"/>
  <c r="H285" i="2"/>
  <c r="G285" i="2"/>
  <c r="F285" i="2"/>
  <c r="E285" i="2"/>
  <c r="B285" i="55"/>
  <c r="A285" i="55"/>
  <c r="N285" i="55" s="1"/>
  <c r="R284" i="2"/>
  <c r="Q284" i="2"/>
  <c r="P284" i="2"/>
  <c r="O284" i="2"/>
  <c r="M284" i="2"/>
  <c r="L284" i="2"/>
  <c r="K284" i="2"/>
  <c r="J284" i="2"/>
  <c r="I284" i="2"/>
  <c r="H284" i="2"/>
  <c r="G284" i="2"/>
  <c r="F284" i="2"/>
  <c r="E284" i="2"/>
  <c r="B284" i="55"/>
  <c r="A284" i="55"/>
  <c r="N284" i="55" s="1"/>
  <c r="R283" i="2"/>
  <c r="Q283" i="2"/>
  <c r="P283" i="2"/>
  <c r="O283" i="2"/>
  <c r="M283" i="2"/>
  <c r="L283" i="2"/>
  <c r="K283" i="2"/>
  <c r="J283" i="2"/>
  <c r="I283" i="2"/>
  <c r="H283" i="2"/>
  <c r="G283" i="2"/>
  <c r="F283" i="2"/>
  <c r="E283" i="2"/>
  <c r="B283" i="55"/>
  <c r="A283" i="55"/>
  <c r="N283" i="55" s="1"/>
  <c r="R282" i="2"/>
  <c r="Q282" i="2"/>
  <c r="P282" i="2"/>
  <c r="O282" i="2"/>
  <c r="M282" i="2"/>
  <c r="L282" i="2"/>
  <c r="K282" i="2"/>
  <c r="J282" i="2"/>
  <c r="I282" i="2"/>
  <c r="H282" i="2"/>
  <c r="G282" i="2"/>
  <c r="F282" i="2"/>
  <c r="E282" i="2"/>
  <c r="B282" i="55"/>
  <c r="A282" i="55"/>
  <c r="N282" i="55" s="1"/>
  <c r="R281" i="2"/>
  <c r="Q281" i="2"/>
  <c r="P281" i="2"/>
  <c r="O281" i="2"/>
  <c r="M281" i="2"/>
  <c r="L281" i="2"/>
  <c r="K281" i="2"/>
  <c r="J281" i="2"/>
  <c r="I281" i="2"/>
  <c r="H281" i="2"/>
  <c r="G281" i="2"/>
  <c r="F281" i="2"/>
  <c r="E281" i="2"/>
  <c r="B281" i="55"/>
  <c r="A281" i="55"/>
  <c r="N281" i="55" s="1"/>
  <c r="R280" i="2"/>
  <c r="Q280" i="2"/>
  <c r="P280" i="2"/>
  <c r="O280" i="2"/>
  <c r="M280" i="2"/>
  <c r="L280" i="2"/>
  <c r="K280" i="2"/>
  <c r="J280" i="2"/>
  <c r="I280" i="2"/>
  <c r="H280" i="2"/>
  <c r="G280" i="2"/>
  <c r="F280" i="2"/>
  <c r="E280" i="2"/>
  <c r="B280" i="55"/>
  <c r="A280" i="55"/>
  <c r="N280" i="55" s="1"/>
  <c r="R279" i="2"/>
  <c r="Q279" i="2"/>
  <c r="P279" i="2"/>
  <c r="O279" i="2"/>
  <c r="M279" i="2"/>
  <c r="L279" i="2"/>
  <c r="K279" i="2"/>
  <c r="J279" i="2"/>
  <c r="I279" i="2"/>
  <c r="H279" i="2"/>
  <c r="G279" i="2"/>
  <c r="F279" i="2"/>
  <c r="E279" i="2"/>
  <c r="B279" i="55"/>
  <c r="A279" i="55"/>
  <c r="N279" i="55" s="1"/>
  <c r="R278" i="2"/>
  <c r="Q278" i="2"/>
  <c r="P278" i="2"/>
  <c r="O278" i="2"/>
  <c r="M278" i="2"/>
  <c r="L278" i="2"/>
  <c r="K278" i="2"/>
  <c r="J278" i="2"/>
  <c r="I278" i="2"/>
  <c r="H278" i="2"/>
  <c r="G278" i="2"/>
  <c r="F278" i="2"/>
  <c r="E278" i="2"/>
  <c r="B278" i="55"/>
  <c r="A278" i="55"/>
  <c r="N278" i="55" s="1"/>
  <c r="R277" i="2"/>
  <c r="Q277" i="2"/>
  <c r="P277" i="2"/>
  <c r="O277" i="2"/>
  <c r="M277" i="2"/>
  <c r="L277" i="2"/>
  <c r="K277" i="2"/>
  <c r="J277" i="2"/>
  <c r="I277" i="2"/>
  <c r="H277" i="2"/>
  <c r="G277" i="2"/>
  <c r="F277" i="2"/>
  <c r="E277" i="2"/>
  <c r="B277" i="55"/>
  <c r="A277" i="55"/>
  <c r="N277" i="55" s="1"/>
  <c r="R276" i="2"/>
  <c r="Q276" i="2"/>
  <c r="P276" i="2"/>
  <c r="O276" i="2"/>
  <c r="M276" i="2"/>
  <c r="L276" i="2"/>
  <c r="K276" i="2"/>
  <c r="J276" i="2"/>
  <c r="I276" i="2"/>
  <c r="H276" i="2"/>
  <c r="G276" i="2"/>
  <c r="F276" i="2"/>
  <c r="E276" i="2"/>
  <c r="B276" i="55"/>
  <c r="A276" i="55"/>
  <c r="N276" i="55" s="1"/>
  <c r="R275" i="2"/>
  <c r="Q275" i="2"/>
  <c r="P275" i="2"/>
  <c r="O275" i="2"/>
  <c r="M275" i="2"/>
  <c r="L275" i="2"/>
  <c r="K275" i="2"/>
  <c r="J275" i="2"/>
  <c r="I275" i="2"/>
  <c r="H275" i="2"/>
  <c r="G275" i="2"/>
  <c r="F275" i="2"/>
  <c r="E275" i="2"/>
  <c r="B275" i="55"/>
  <c r="A275" i="55"/>
  <c r="N275" i="55" s="1"/>
  <c r="R274" i="2"/>
  <c r="Q274" i="2"/>
  <c r="P274" i="2"/>
  <c r="O274" i="2"/>
  <c r="M274" i="2"/>
  <c r="L274" i="2"/>
  <c r="K274" i="2"/>
  <c r="J274" i="2"/>
  <c r="I274" i="2"/>
  <c r="H274" i="2"/>
  <c r="G274" i="2"/>
  <c r="F274" i="2"/>
  <c r="E274" i="2"/>
  <c r="B274" i="55"/>
  <c r="A274" i="55"/>
  <c r="N274" i="55" s="1"/>
  <c r="R273" i="2"/>
  <c r="Q273" i="2"/>
  <c r="P273" i="2"/>
  <c r="O273" i="2"/>
  <c r="M273" i="2"/>
  <c r="L273" i="2"/>
  <c r="K273" i="2"/>
  <c r="J273" i="2"/>
  <c r="I273" i="2"/>
  <c r="H273" i="2"/>
  <c r="G273" i="2"/>
  <c r="F273" i="2"/>
  <c r="E273" i="2"/>
  <c r="B273" i="55"/>
  <c r="A273" i="55"/>
  <c r="N273" i="55" s="1"/>
  <c r="R272" i="2"/>
  <c r="Q272" i="2"/>
  <c r="P272" i="2"/>
  <c r="O272" i="2"/>
  <c r="M272" i="2"/>
  <c r="L272" i="2"/>
  <c r="K272" i="2"/>
  <c r="J272" i="2"/>
  <c r="I272" i="2"/>
  <c r="H272" i="2"/>
  <c r="G272" i="2"/>
  <c r="F272" i="2"/>
  <c r="E272" i="2"/>
  <c r="B272" i="55"/>
  <c r="A272" i="55"/>
  <c r="N272" i="55" s="1"/>
  <c r="R271" i="2"/>
  <c r="Q271" i="2"/>
  <c r="P271" i="2"/>
  <c r="O271" i="2"/>
  <c r="M271" i="2"/>
  <c r="L271" i="2"/>
  <c r="K271" i="2"/>
  <c r="J271" i="2"/>
  <c r="I271" i="2"/>
  <c r="H271" i="2"/>
  <c r="G271" i="2"/>
  <c r="F271" i="2"/>
  <c r="E271" i="2"/>
  <c r="B271" i="55"/>
  <c r="A271" i="55"/>
  <c r="N271" i="55" s="1"/>
  <c r="R270" i="2"/>
  <c r="Q270" i="2"/>
  <c r="P270" i="2"/>
  <c r="O270" i="2"/>
  <c r="M270" i="2"/>
  <c r="L270" i="2"/>
  <c r="K270" i="2"/>
  <c r="J270" i="2"/>
  <c r="I270" i="2"/>
  <c r="H270" i="2"/>
  <c r="G270" i="2"/>
  <c r="F270" i="2"/>
  <c r="E270" i="2"/>
  <c r="B270" i="55"/>
  <c r="A270" i="55"/>
  <c r="N270" i="55" s="1"/>
  <c r="R269" i="2"/>
  <c r="Q269" i="2"/>
  <c r="P269" i="2"/>
  <c r="O269" i="2"/>
  <c r="M269" i="2"/>
  <c r="L269" i="2"/>
  <c r="K269" i="2"/>
  <c r="J269" i="2"/>
  <c r="I269" i="2"/>
  <c r="H269" i="2"/>
  <c r="G269" i="2"/>
  <c r="F269" i="2"/>
  <c r="E269" i="2"/>
  <c r="B269" i="55"/>
  <c r="A269" i="55"/>
  <c r="N269" i="55" s="1"/>
  <c r="R268" i="2"/>
  <c r="Q268" i="2"/>
  <c r="P268" i="2"/>
  <c r="O268" i="2"/>
  <c r="M268" i="2"/>
  <c r="L268" i="2"/>
  <c r="K268" i="2"/>
  <c r="J268" i="2"/>
  <c r="I268" i="2"/>
  <c r="H268" i="2"/>
  <c r="G268" i="2"/>
  <c r="F268" i="2"/>
  <c r="E268" i="2"/>
  <c r="B268" i="55"/>
  <c r="A268" i="55"/>
  <c r="N268" i="55" s="1"/>
  <c r="R267" i="2"/>
  <c r="Q267" i="2"/>
  <c r="P267" i="2"/>
  <c r="O267" i="2"/>
  <c r="M267" i="2"/>
  <c r="L267" i="2"/>
  <c r="K267" i="2"/>
  <c r="J267" i="2"/>
  <c r="I267" i="2"/>
  <c r="H267" i="2"/>
  <c r="G267" i="2"/>
  <c r="F267" i="2"/>
  <c r="E267" i="2"/>
  <c r="B267" i="55"/>
  <c r="A267" i="55"/>
  <c r="N267" i="55" s="1"/>
  <c r="R266" i="2"/>
  <c r="Q266" i="2"/>
  <c r="P266" i="2"/>
  <c r="O266" i="2"/>
  <c r="M266" i="2"/>
  <c r="L266" i="2"/>
  <c r="K266" i="2"/>
  <c r="J266" i="2"/>
  <c r="I266" i="2"/>
  <c r="H266" i="2"/>
  <c r="G266" i="2"/>
  <c r="F266" i="2"/>
  <c r="E266" i="2"/>
  <c r="B266" i="55"/>
  <c r="A266" i="55"/>
  <c r="N266" i="55" s="1"/>
  <c r="R265" i="2"/>
  <c r="Q265" i="2"/>
  <c r="P265" i="2"/>
  <c r="O265" i="2"/>
  <c r="M265" i="2"/>
  <c r="L265" i="2"/>
  <c r="K265" i="2"/>
  <c r="J265" i="2"/>
  <c r="I265" i="2"/>
  <c r="H265" i="2"/>
  <c r="G265" i="2"/>
  <c r="F265" i="2"/>
  <c r="E265" i="2"/>
  <c r="B265" i="55"/>
  <c r="A265" i="55"/>
  <c r="N265" i="55" s="1"/>
  <c r="R264" i="2"/>
  <c r="Q264" i="2"/>
  <c r="P264" i="2"/>
  <c r="O264" i="2"/>
  <c r="M264" i="2"/>
  <c r="L264" i="2"/>
  <c r="K264" i="2"/>
  <c r="J264" i="2"/>
  <c r="I264" i="2"/>
  <c r="H264" i="2"/>
  <c r="G264" i="2"/>
  <c r="F264" i="2"/>
  <c r="E264" i="2"/>
  <c r="B264" i="55"/>
  <c r="A264" i="55"/>
  <c r="N264" i="55" s="1"/>
  <c r="R263" i="2"/>
  <c r="Q263" i="2"/>
  <c r="P263" i="2"/>
  <c r="O263" i="2"/>
  <c r="M263" i="2"/>
  <c r="L263" i="2"/>
  <c r="K263" i="2"/>
  <c r="J263" i="2"/>
  <c r="I263" i="2"/>
  <c r="H263" i="2"/>
  <c r="G263" i="2"/>
  <c r="F263" i="2"/>
  <c r="E263" i="2"/>
  <c r="B263" i="55"/>
  <c r="A263" i="55"/>
  <c r="N263" i="55" s="1"/>
  <c r="R262" i="2"/>
  <c r="Q262" i="2"/>
  <c r="P262" i="2"/>
  <c r="O262" i="2"/>
  <c r="M262" i="2"/>
  <c r="L262" i="2"/>
  <c r="K262" i="2"/>
  <c r="J262" i="2"/>
  <c r="I262" i="2"/>
  <c r="H262" i="2"/>
  <c r="G262" i="2"/>
  <c r="F262" i="2"/>
  <c r="E262" i="2"/>
  <c r="B262" i="55"/>
  <c r="A262" i="55"/>
  <c r="N262" i="55" s="1"/>
  <c r="R261" i="2"/>
  <c r="Q261" i="2"/>
  <c r="P261" i="2"/>
  <c r="O261" i="2"/>
  <c r="M261" i="2"/>
  <c r="L261" i="2"/>
  <c r="K261" i="2"/>
  <c r="J261" i="2"/>
  <c r="I261" i="2"/>
  <c r="H261" i="2"/>
  <c r="G261" i="2"/>
  <c r="F261" i="2"/>
  <c r="E261" i="2"/>
  <c r="B261" i="55"/>
  <c r="A261" i="55"/>
  <c r="N261" i="55" s="1"/>
  <c r="R260" i="2"/>
  <c r="Q260" i="2"/>
  <c r="P260" i="2"/>
  <c r="O260" i="2"/>
  <c r="M260" i="2"/>
  <c r="L260" i="2"/>
  <c r="K260" i="2"/>
  <c r="J260" i="2"/>
  <c r="I260" i="2"/>
  <c r="H260" i="2"/>
  <c r="G260" i="2"/>
  <c r="F260" i="2"/>
  <c r="E260" i="2"/>
  <c r="B260" i="55"/>
  <c r="A260" i="55"/>
  <c r="N260" i="55" s="1"/>
  <c r="R259" i="2"/>
  <c r="Q259" i="2"/>
  <c r="P259" i="2"/>
  <c r="O259" i="2"/>
  <c r="M259" i="2"/>
  <c r="L259" i="2"/>
  <c r="K259" i="2"/>
  <c r="J259" i="2"/>
  <c r="I259" i="2"/>
  <c r="H259" i="2"/>
  <c r="G259" i="2"/>
  <c r="F259" i="2"/>
  <c r="E259" i="2"/>
  <c r="B259" i="55"/>
  <c r="A259" i="55"/>
  <c r="N259" i="55" s="1"/>
  <c r="R258" i="2"/>
  <c r="Q258" i="2"/>
  <c r="P258" i="2"/>
  <c r="O258" i="2"/>
  <c r="M258" i="2"/>
  <c r="L258" i="2"/>
  <c r="K258" i="2"/>
  <c r="J258" i="2"/>
  <c r="I258" i="2"/>
  <c r="H258" i="2"/>
  <c r="G258" i="2"/>
  <c r="F258" i="2"/>
  <c r="E258" i="2"/>
  <c r="B258" i="55"/>
  <c r="A258" i="55"/>
  <c r="N258" i="55" s="1"/>
  <c r="R257" i="2"/>
  <c r="Q257" i="2"/>
  <c r="P257" i="2"/>
  <c r="O257" i="2"/>
  <c r="M257" i="2"/>
  <c r="L257" i="2"/>
  <c r="K257" i="2"/>
  <c r="J257" i="2"/>
  <c r="I257" i="2"/>
  <c r="H257" i="2"/>
  <c r="G257" i="2"/>
  <c r="F257" i="2"/>
  <c r="E257" i="2"/>
  <c r="B257" i="55"/>
  <c r="A257" i="55"/>
  <c r="N257" i="55" s="1"/>
  <c r="R256" i="2"/>
  <c r="Q256" i="2"/>
  <c r="P256" i="2"/>
  <c r="O256" i="2"/>
  <c r="M256" i="2"/>
  <c r="L256" i="2"/>
  <c r="K256" i="2"/>
  <c r="J256" i="2"/>
  <c r="I256" i="2"/>
  <c r="H256" i="2"/>
  <c r="G256" i="2"/>
  <c r="F256" i="2"/>
  <c r="E256" i="2"/>
  <c r="B256" i="55"/>
  <c r="A256" i="55"/>
  <c r="N256" i="55" s="1"/>
  <c r="R255" i="2"/>
  <c r="Q255" i="2"/>
  <c r="P255" i="2"/>
  <c r="O255" i="2"/>
  <c r="M255" i="2"/>
  <c r="L255" i="2"/>
  <c r="K255" i="2"/>
  <c r="J255" i="2"/>
  <c r="I255" i="2"/>
  <c r="H255" i="2"/>
  <c r="G255" i="2"/>
  <c r="F255" i="2"/>
  <c r="E255" i="2"/>
  <c r="B255" i="55"/>
  <c r="A255" i="55"/>
  <c r="N255" i="55" s="1"/>
  <c r="R254" i="2"/>
  <c r="Q254" i="2"/>
  <c r="P254" i="2"/>
  <c r="O254" i="2"/>
  <c r="M254" i="2"/>
  <c r="L254" i="2"/>
  <c r="K254" i="2"/>
  <c r="J254" i="2"/>
  <c r="I254" i="2"/>
  <c r="H254" i="2"/>
  <c r="G254" i="2"/>
  <c r="F254" i="2"/>
  <c r="E254" i="2"/>
  <c r="B254" i="55"/>
  <c r="A254" i="55"/>
  <c r="N254" i="55" s="1"/>
  <c r="R253" i="2"/>
  <c r="Q253" i="2"/>
  <c r="P253" i="2"/>
  <c r="O253" i="2"/>
  <c r="M253" i="2"/>
  <c r="L253" i="2"/>
  <c r="K253" i="2"/>
  <c r="J253" i="2"/>
  <c r="I253" i="2"/>
  <c r="H253" i="2"/>
  <c r="G253" i="2"/>
  <c r="F253" i="2"/>
  <c r="E253" i="2"/>
  <c r="B253" i="55"/>
  <c r="N253" i="55"/>
  <c r="R252" i="2"/>
  <c r="Q252" i="2"/>
  <c r="P252" i="2"/>
  <c r="O252" i="2"/>
  <c r="M252" i="2"/>
  <c r="L252" i="2"/>
  <c r="K252" i="2"/>
  <c r="J252" i="2"/>
  <c r="I252" i="2"/>
  <c r="H252" i="2"/>
  <c r="G252" i="2"/>
  <c r="F252" i="2"/>
  <c r="E252" i="2"/>
  <c r="B252" i="55"/>
  <c r="A252" i="55"/>
  <c r="N252" i="55" s="1"/>
  <c r="R251" i="2"/>
  <c r="Q251" i="2"/>
  <c r="P251" i="2"/>
  <c r="O251" i="2"/>
  <c r="M251" i="2"/>
  <c r="L251" i="2"/>
  <c r="K251" i="2"/>
  <c r="J251" i="2"/>
  <c r="I251" i="2"/>
  <c r="H251" i="2"/>
  <c r="G251" i="2"/>
  <c r="F251" i="2"/>
  <c r="E251" i="2"/>
  <c r="B251" i="55"/>
  <c r="A251" i="55"/>
  <c r="N251" i="55" s="1"/>
  <c r="R250" i="2"/>
  <c r="Q250" i="2"/>
  <c r="P250" i="2"/>
  <c r="O250" i="2"/>
  <c r="M250" i="2"/>
  <c r="L250" i="2"/>
  <c r="K250" i="2"/>
  <c r="J250" i="2"/>
  <c r="I250" i="2"/>
  <c r="H250" i="2"/>
  <c r="G250" i="2"/>
  <c r="F250" i="2"/>
  <c r="E250" i="2"/>
  <c r="B250" i="55"/>
  <c r="A250" i="55"/>
  <c r="N250" i="55" s="1"/>
  <c r="R249" i="2"/>
  <c r="Q249" i="2"/>
  <c r="P249" i="2"/>
  <c r="O249" i="2"/>
  <c r="M249" i="2"/>
  <c r="L249" i="2"/>
  <c r="K249" i="2"/>
  <c r="J249" i="2"/>
  <c r="I249" i="2"/>
  <c r="H249" i="2"/>
  <c r="G249" i="2"/>
  <c r="F249" i="2"/>
  <c r="E249" i="2"/>
  <c r="B249" i="55"/>
  <c r="A249" i="55"/>
  <c r="N249" i="55" s="1"/>
  <c r="R248" i="2"/>
  <c r="Q248" i="2"/>
  <c r="P248" i="2"/>
  <c r="O248" i="2"/>
  <c r="M248" i="2"/>
  <c r="L248" i="2"/>
  <c r="K248" i="2"/>
  <c r="J248" i="2"/>
  <c r="I248" i="2"/>
  <c r="H248" i="2"/>
  <c r="G248" i="2"/>
  <c r="F248" i="2"/>
  <c r="E248" i="2"/>
  <c r="B248" i="55"/>
  <c r="A248" i="55"/>
  <c r="N248" i="55" s="1"/>
  <c r="R247" i="2"/>
  <c r="Q247" i="2"/>
  <c r="P247" i="2"/>
  <c r="O247" i="2"/>
  <c r="M247" i="2"/>
  <c r="L247" i="2"/>
  <c r="K247" i="2"/>
  <c r="J247" i="2"/>
  <c r="I247" i="2"/>
  <c r="H247" i="2"/>
  <c r="G247" i="2"/>
  <c r="F247" i="2"/>
  <c r="E247" i="2"/>
  <c r="B247" i="55"/>
  <c r="A247" i="55"/>
  <c r="N247" i="55" s="1"/>
  <c r="R246" i="2"/>
  <c r="Q246" i="2"/>
  <c r="P246" i="2"/>
  <c r="O246" i="2"/>
  <c r="M246" i="2"/>
  <c r="L246" i="2"/>
  <c r="K246" i="2"/>
  <c r="J246" i="2"/>
  <c r="I246" i="2"/>
  <c r="H246" i="2"/>
  <c r="G246" i="2"/>
  <c r="F246" i="2"/>
  <c r="E246" i="2"/>
  <c r="B246" i="55"/>
  <c r="A246" i="55"/>
  <c r="N246" i="55" s="1"/>
  <c r="R245" i="2"/>
  <c r="Q245" i="2"/>
  <c r="P245" i="2"/>
  <c r="O245" i="2"/>
  <c r="M245" i="2"/>
  <c r="L245" i="2"/>
  <c r="K245" i="2"/>
  <c r="J245" i="2"/>
  <c r="I245" i="2"/>
  <c r="H245" i="2"/>
  <c r="G245" i="2"/>
  <c r="F245" i="2"/>
  <c r="E245" i="2"/>
  <c r="B245" i="55"/>
  <c r="A245" i="55"/>
  <c r="N245" i="55" s="1"/>
  <c r="R244" i="2"/>
  <c r="Q244" i="2"/>
  <c r="P244" i="2"/>
  <c r="O244" i="2"/>
  <c r="M244" i="2"/>
  <c r="L244" i="2"/>
  <c r="K244" i="2"/>
  <c r="J244" i="2"/>
  <c r="I244" i="2"/>
  <c r="H244" i="2"/>
  <c r="G244" i="2"/>
  <c r="F244" i="2"/>
  <c r="E244" i="2"/>
  <c r="B244" i="55"/>
  <c r="A244" i="55"/>
  <c r="N244" i="55" s="1"/>
  <c r="R243" i="2"/>
  <c r="Q243" i="2"/>
  <c r="P243" i="2"/>
  <c r="O243" i="2"/>
  <c r="M243" i="2"/>
  <c r="L243" i="2"/>
  <c r="K243" i="2"/>
  <c r="J243" i="2"/>
  <c r="I243" i="2"/>
  <c r="H243" i="2"/>
  <c r="G243" i="2"/>
  <c r="F243" i="2"/>
  <c r="E243" i="2"/>
  <c r="B243" i="55"/>
  <c r="A243" i="55"/>
  <c r="N243" i="55" s="1"/>
  <c r="R242" i="2"/>
  <c r="Q242" i="2"/>
  <c r="P242" i="2"/>
  <c r="O242" i="2"/>
  <c r="M242" i="2"/>
  <c r="L242" i="2"/>
  <c r="K242" i="2"/>
  <c r="J242" i="2"/>
  <c r="I242" i="2"/>
  <c r="H242" i="2"/>
  <c r="G242" i="2"/>
  <c r="F242" i="2"/>
  <c r="E242" i="2"/>
  <c r="B242" i="55"/>
  <c r="A242" i="55"/>
  <c r="N242" i="55" s="1"/>
  <c r="R241" i="2"/>
  <c r="Q241" i="2"/>
  <c r="P241" i="2"/>
  <c r="O241" i="2"/>
  <c r="M241" i="2"/>
  <c r="L241" i="2"/>
  <c r="K241" i="2"/>
  <c r="J241" i="2"/>
  <c r="I241" i="2"/>
  <c r="H241" i="2"/>
  <c r="G241" i="2"/>
  <c r="F241" i="2"/>
  <c r="E241" i="2"/>
  <c r="B241" i="55"/>
  <c r="A241" i="55"/>
  <c r="N241" i="55" s="1"/>
  <c r="R240" i="2"/>
  <c r="Q240" i="2"/>
  <c r="P240" i="2"/>
  <c r="O240" i="2"/>
  <c r="M240" i="2"/>
  <c r="L240" i="2"/>
  <c r="K240" i="2"/>
  <c r="J240" i="2"/>
  <c r="I240" i="2"/>
  <c r="H240" i="2"/>
  <c r="G240" i="2"/>
  <c r="F240" i="2"/>
  <c r="E240" i="2"/>
  <c r="B240" i="55"/>
  <c r="A240" i="55"/>
  <c r="N240" i="55" s="1"/>
  <c r="R239" i="2"/>
  <c r="Q239" i="2"/>
  <c r="P239" i="2"/>
  <c r="O239" i="2"/>
  <c r="M239" i="2"/>
  <c r="L239" i="2"/>
  <c r="K239" i="2"/>
  <c r="J239" i="2"/>
  <c r="I239" i="2"/>
  <c r="H239" i="2"/>
  <c r="G239" i="2"/>
  <c r="F239" i="2"/>
  <c r="E239" i="2"/>
  <c r="B239" i="55"/>
  <c r="A239" i="55"/>
  <c r="N239" i="55" s="1"/>
  <c r="R238" i="2"/>
  <c r="Q238" i="2"/>
  <c r="P238" i="2"/>
  <c r="O238" i="2"/>
  <c r="M238" i="2"/>
  <c r="L238" i="2"/>
  <c r="K238" i="2"/>
  <c r="J238" i="2"/>
  <c r="I238" i="2"/>
  <c r="H238" i="2"/>
  <c r="G238" i="2"/>
  <c r="F238" i="2"/>
  <c r="E238" i="2"/>
  <c r="B238" i="55"/>
  <c r="A238" i="55"/>
  <c r="N238" i="55" s="1"/>
  <c r="R237" i="2"/>
  <c r="Q237" i="2"/>
  <c r="P237" i="2"/>
  <c r="O237" i="2"/>
  <c r="M237" i="2"/>
  <c r="L237" i="2"/>
  <c r="K237" i="2"/>
  <c r="J237" i="2"/>
  <c r="I237" i="2"/>
  <c r="H237" i="2"/>
  <c r="G237" i="2"/>
  <c r="F237" i="2"/>
  <c r="E237" i="2"/>
  <c r="B237" i="55"/>
  <c r="A237" i="55"/>
  <c r="N237" i="55" s="1"/>
  <c r="R236" i="2"/>
  <c r="Q236" i="2"/>
  <c r="P236" i="2"/>
  <c r="O236" i="2"/>
  <c r="M236" i="2"/>
  <c r="L236" i="2"/>
  <c r="K236" i="2"/>
  <c r="J236" i="2"/>
  <c r="I236" i="2"/>
  <c r="H236" i="2"/>
  <c r="G236" i="2"/>
  <c r="F236" i="2"/>
  <c r="E236" i="2"/>
  <c r="B236" i="55"/>
  <c r="A236" i="55"/>
  <c r="N236" i="55" s="1"/>
  <c r="R235" i="2"/>
  <c r="Q235" i="2"/>
  <c r="P235" i="2"/>
  <c r="O235" i="2"/>
  <c r="M235" i="2"/>
  <c r="L235" i="2"/>
  <c r="K235" i="2"/>
  <c r="J235" i="2"/>
  <c r="I235" i="2"/>
  <c r="H235" i="2"/>
  <c r="G235" i="2"/>
  <c r="F235" i="2"/>
  <c r="E235" i="2"/>
  <c r="B235" i="55"/>
  <c r="A235" i="55"/>
  <c r="N235" i="55" s="1"/>
  <c r="R234" i="2"/>
  <c r="Q234" i="2"/>
  <c r="P234" i="2"/>
  <c r="O234" i="2"/>
  <c r="M234" i="2"/>
  <c r="L234" i="2"/>
  <c r="K234" i="2"/>
  <c r="J234" i="2"/>
  <c r="I234" i="2"/>
  <c r="H234" i="2"/>
  <c r="G234" i="2"/>
  <c r="F234" i="2"/>
  <c r="E234" i="2"/>
  <c r="B234" i="55"/>
  <c r="A234" i="55"/>
  <c r="N234" i="55" s="1"/>
  <c r="R233" i="2"/>
  <c r="Q233" i="2"/>
  <c r="P233" i="2"/>
  <c r="O233" i="2"/>
  <c r="M233" i="2"/>
  <c r="L233" i="2"/>
  <c r="K233" i="2"/>
  <c r="J233" i="2"/>
  <c r="I233" i="2"/>
  <c r="H233" i="2"/>
  <c r="G233" i="2"/>
  <c r="F233" i="2"/>
  <c r="E233" i="2"/>
  <c r="B233" i="55"/>
  <c r="A233" i="55"/>
  <c r="N233" i="55" s="1"/>
  <c r="R232" i="2"/>
  <c r="Q232" i="2"/>
  <c r="P232" i="2"/>
  <c r="O232" i="2"/>
  <c r="M232" i="2"/>
  <c r="L232" i="2"/>
  <c r="K232" i="2"/>
  <c r="J232" i="2"/>
  <c r="I232" i="2"/>
  <c r="H232" i="2"/>
  <c r="G232" i="2"/>
  <c r="F232" i="2"/>
  <c r="E232" i="2"/>
  <c r="B232" i="55"/>
  <c r="A232" i="55"/>
  <c r="N232" i="55" s="1"/>
  <c r="R231" i="2"/>
  <c r="Q231" i="2"/>
  <c r="P231" i="2"/>
  <c r="O231" i="2"/>
  <c r="M231" i="2"/>
  <c r="L231" i="2"/>
  <c r="K231" i="2"/>
  <c r="J231" i="2"/>
  <c r="I231" i="2"/>
  <c r="H231" i="2"/>
  <c r="G231" i="2"/>
  <c r="F231" i="2"/>
  <c r="E231" i="2"/>
  <c r="B231" i="55"/>
  <c r="A231" i="55"/>
  <c r="N231" i="55" s="1"/>
  <c r="R230" i="2"/>
  <c r="Q230" i="2"/>
  <c r="P230" i="2"/>
  <c r="O230" i="2"/>
  <c r="M230" i="2"/>
  <c r="L230" i="2"/>
  <c r="K230" i="2"/>
  <c r="J230" i="2"/>
  <c r="I230" i="2"/>
  <c r="H230" i="2"/>
  <c r="G230" i="2"/>
  <c r="F230" i="2"/>
  <c r="E230" i="2"/>
  <c r="B230" i="55"/>
  <c r="A230" i="55"/>
  <c r="N230" i="55" s="1"/>
  <c r="R229" i="2"/>
  <c r="Q229" i="2"/>
  <c r="P229" i="2"/>
  <c r="O229" i="2"/>
  <c r="M229" i="2"/>
  <c r="L229" i="2"/>
  <c r="K229" i="2"/>
  <c r="J229" i="2"/>
  <c r="I229" i="2"/>
  <c r="H229" i="2"/>
  <c r="G229" i="2"/>
  <c r="F229" i="2"/>
  <c r="E229" i="2"/>
  <c r="B229" i="55"/>
  <c r="A229" i="55"/>
  <c r="N229" i="55" s="1"/>
  <c r="R228" i="2"/>
  <c r="Q228" i="2"/>
  <c r="P228" i="2"/>
  <c r="O228" i="2"/>
  <c r="M228" i="2"/>
  <c r="L228" i="2"/>
  <c r="K228" i="2"/>
  <c r="J228" i="2"/>
  <c r="I228" i="2"/>
  <c r="H228" i="2"/>
  <c r="G228" i="2"/>
  <c r="F228" i="2"/>
  <c r="E228" i="2"/>
  <c r="B228" i="55"/>
  <c r="A228" i="55"/>
  <c r="N228" i="55" s="1"/>
  <c r="R227" i="2"/>
  <c r="Q227" i="2"/>
  <c r="P227" i="2"/>
  <c r="O227" i="2"/>
  <c r="M227" i="2"/>
  <c r="L227" i="2"/>
  <c r="K227" i="2"/>
  <c r="J227" i="2"/>
  <c r="I227" i="2"/>
  <c r="H227" i="2"/>
  <c r="G227" i="2"/>
  <c r="F227" i="2"/>
  <c r="E227" i="2"/>
  <c r="B227" i="55"/>
  <c r="A227" i="55"/>
  <c r="N227" i="55" s="1"/>
  <c r="R226" i="2"/>
  <c r="Q226" i="2"/>
  <c r="P226" i="2"/>
  <c r="O226" i="2"/>
  <c r="M226" i="2"/>
  <c r="L226" i="2"/>
  <c r="K226" i="2"/>
  <c r="J226" i="2"/>
  <c r="I226" i="2"/>
  <c r="H226" i="2"/>
  <c r="G226" i="2"/>
  <c r="F226" i="2"/>
  <c r="E226" i="2"/>
  <c r="B226" i="55"/>
  <c r="A226" i="55"/>
  <c r="N226" i="55" s="1"/>
  <c r="R225" i="2"/>
  <c r="Q225" i="2"/>
  <c r="P225" i="2"/>
  <c r="O225" i="2"/>
  <c r="M225" i="2"/>
  <c r="L225" i="2"/>
  <c r="K225" i="2"/>
  <c r="J225" i="2"/>
  <c r="I225" i="2"/>
  <c r="H225" i="2"/>
  <c r="G225" i="2"/>
  <c r="F225" i="2"/>
  <c r="E225" i="2"/>
  <c r="B225" i="55"/>
  <c r="A225" i="55"/>
  <c r="N225" i="55" s="1"/>
  <c r="R224" i="2"/>
  <c r="Q224" i="2"/>
  <c r="P224" i="2"/>
  <c r="O224" i="2"/>
  <c r="M224" i="2"/>
  <c r="L224" i="2"/>
  <c r="K224" i="2"/>
  <c r="J224" i="2"/>
  <c r="I224" i="2"/>
  <c r="H224" i="2"/>
  <c r="G224" i="2"/>
  <c r="F224" i="2"/>
  <c r="E224" i="2"/>
  <c r="B224" i="55"/>
  <c r="A224" i="55"/>
  <c r="N224" i="55" s="1"/>
  <c r="R223" i="2"/>
  <c r="Q223" i="2"/>
  <c r="P223" i="2"/>
  <c r="O223" i="2"/>
  <c r="M223" i="2"/>
  <c r="L223" i="2"/>
  <c r="K223" i="2"/>
  <c r="J223" i="2"/>
  <c r="I223" i="2"/>
  <c r="H223" i="2"/>
  <c r="G223" i="2"/>
  <c r="F223" i="2"/>
  <c r="E223" i="2"/>
  <c r="B223" i="55"/>
  <c r="A223" i="55"/>
  <c r="N223" i="55" s="1"/>
  <c r="R222" i="2"/>
  <c r="Q222" i="2"/>
  <c r="P222" i="2"/>
  <c r="O222" i="2"/>
  <c r="M222" i="2"/>
  <c r="L222" i="2"/>
  <c r="K222" i="2"/>
  <c r="J222" i="2"/>
  <c r="I222" i="2"/>
  <c r="H222" i="2"/>
  <c r="G222" i="2"/>
  <c r="F222" i="2"/>
  <c r="E222" i="2"/>
  <c r="B222" i="55"/>
  <c r="A222" i="55"/>
  <c r="N222" i="55" s="1"/>
  <c r="R221" i="2"/>
  <c r="Q221" i="2"/>
  <c r="P221" i="2"/>
  <c r="O221" i="2"/>
  <c r="M221" i="2"/>
  <c r="L221" i="2"/>
  <c r="K221" i="2"/>
  <c r="J221" i="2"/>
  <c r="I221" i="2"/>
  <c r="H221" i="2"/>
  <c r="G221" i="2"/>
  <c r="F221" i="2"/>
  <c r="E221" i="2"/>
  <c r="B221" i="55"/>
  <c r="A221" i="55"/>
  <c r="N221" i="55" s="1"/>
  <c r="R220" i="2"/>
  <c r="Q220" i="2"/>
  <c r="P220" i="2"/>
  <c r="O220" i="2"/>
  <c r="M220" i="2"/>
  <c r="L220" i="2"/>
  <c r="K220" i="2"/>
  <c r="J220" i="2"/>
  <c r="I220" i="2"/>
  <c r="H220" i="2"/>
  <c r="G220" i="2"/>
  <c r="F220" i="2"/>
  <c r="E220" i="2"/>
  <c r="B220" i="55"/>
  <c r="A220" i="55"/>
  <c r="N220" i="55" s="1"/>
  <c r="R219" i="2"/>
  <c r="Q219" i="2"/>
  <c r="P219" i="2"/>
  <c r="O219" i="2"/>
  <c r="M219" i="2"/>
  <c r="L219" i="2"/>
  <c r="K219" i="2"/>
  <c r="J219" i="2"/>
  <c r="I219" i="2"/>
  <c r="H219" i="2"/>
  <c r="G219" i="2"/>
  <c r="F219" i="2"/>
  <c r="E219" i="2"/>
  <c r="B219" i="55"/>
  <c r="A219" i="55"/>
  <c r="N219" i="55" s="1"/>
  <c r="R218" i="2"/>
  <c r="Q218" i="2"/>
  <c r="P218" i="2"/>
  <c r="O218" i="2"/>
  <c r="M218" i="2"/>
  <c r="L218" i="2"/>
  <c r="K218" i="2"/>
  <c r="J218" i="2"/>
  <c r="I218" i="2"/>
  <c r="H218" i="2"/>
  <c r="G218" i="2"/>
  <c r="F218" i="2"/>
  <c r="E218" i="2"/>
  <c r="B218" i="55"/>
  <c r="A218" i="55"/>
  <c r="N218" i="55" s="1"/>
  <c r="R217" i="2"/>
  <c r="Q217" i="2"/>
  <c r="P217" i="2"/>
  <c r="O217" i="2"/>
  <c r="M217" i="2"/>
  <c r="L217" i="2"/>
  <c r="K217" i="2"/>
  <c r="J217" i="2"/>
  <c r="I217" i="2"/>
  <c r="H217" i="2"/>
  <c r="G217" i="2"/>
  <c r="F217" i="2"/>
  <c r="E217" i="2"/>
  <c r="B217" i="55"/>
  <c r="A217" i="55"/>
  <c r="N217" i="55" s="1"/>
  <c r="R216" i="2"/>
  <c r="Q216" i="2"/>
  <c r="P216" i="2"/>
  <c r="O216" i="2"/>
  <c r="M216" i="2"/>
  <c r="L216" i="2"/>
  <c r="K216" i="2"/>
  <c r="J216" i="2"/>
  <c r="I216" i="2"/>
  <c r="H216" i="2"/>
  <c r="G216" i="2"/>
  <c r="F216" i="2"/>
  <c r="E216" i="2"/>
  <c r="B216" i="55"/>
  <c r="A216" i="55"/>
  <c r="N216" i="55" s="1"/>
  <c r="R215" i="2"/>
  <c r="Q215" i="2"/>
  <c r="P215" i="2"/>
  <c r="O215" i="2"/>
  <c r="M215" i="2"/>
  <c r="L215" i="2"/>
  <c r="K215" i="2"/>
  <c r="J215" i="2"/>
  <c r="I215" i="2"/>
  <c r="H215" i="2"/>
  <c r="G215" i="2"/>
  <c r="F215" i="2"/>
  <c r="E215" i="2"/>
  <c r="B215" i="55"/>
  <c r="A215" i="55"/>
  <c r="N215" i="55" s="1"/>
  <c r="R214" i="2"/>
  <c r="Q214" i="2"/>
  <c r="P214" i="2"/>
  <c r="O214" i="2"/>
  <c r="M214" i="2"/>
  <c r="L214" i="2"/>
  <c r="K214" i="2"/>
  <c r="J214" i="2"/>
  <c r="I214" i="2"/>
  <c r="H214" i="2"/>
  <c r="G214" i="2"/>
  <c r="F214" i="2"/>
  <c r="E214" i="2"/>
  <c r="B214" i="55"/>
  <c r="A214" i="55"/>
  <c r="N214" i="55" s="1"/>
  <c r="R213" i="2"/>
  <c r="Q213" i="2"/>
  <c r="P213" i="2"/>
  <c r="O213" i="2"/>
  <c r="M213" i="2"/>
  <c r="L213" i="2"/>
  <c r="K213" i="2"/>
  <c r="J213" i="2"/>
  <c r="I213" i="2"/>
  <c r="H213" i="2"/>
  <c r="G213" i="2"/>
  <c r="F213" i="2"/>
  <c r="E213" i="2"/>
  <c r="B213" i="55"/>
  <c r="A213" i="55"/>
  <c r="N213" i="55" s="1"/>
  <c r="R212" i="2"/>
  <c r="Q212" i="2"/>
  <c r="P212" i="2"/>
  <c r="O212" i="2"/>
  <c r="M212" i="2"/>
  <c r="L212" i="2"/>
  <c r="K212" i="2"/>
  <c r="J212" i="2"/>
  <c r="I212" i="2"/>
  <c r="H212" i="2"/>
  <c r="G212" i="2"/>
  <c r="F212" i="2"/>
  <c r="E212" i="2"/>
  <c r="B212" i="55"/>
  <c r="A212" i="55"/>
  <c r="N212" i="55" s="1"/>
  <c r="R211" i="2"/>
  <c r="Q211" i="2"/>
  <c r="P211" i="2"/>
  <c r="O211" i="2"/>
  <c r="M211" i="2"/>
  <c r="L211" i="2"/>
  <c r="K211" i="2"/>
  <c r="J211" i="2"/>
  <c r="I211" i="2"/>
  <c r="H211" i="2"/>
  <c r="G211" i="2"/>
  <c r="F211" i="2"/>
  <c r="E211" i="2"/>
  <c r="B211" i="55"/>
  <c r="A211" i="55"/>
  <c r="N211" i="55" s="1"/>
  <c r="R210" i="2"/>
  <c r="Q210" i="2"/>
  <c r="P210" i="2"/>
  <c r="O210" i="2"/>
  <c r="M210" i="2"/>
  <c r="L210" i="2"/>
  <c r="K210" i="2"/>
  <c r="J210" i="2"/>
  <c r="I210" i="2"/>
  <c r="H210" i="2"/>
  <c r="G210" i="2"/>
  <c r="F210" i="2"/>
  <c r="E210" i="2"/>
  <c r="B210" i="55"/>
  <c r="A210" i="55"/>
  <c r="N210" i="55" s="1"/>
  <c r="R209" i="2"/>
  <c r="Q209" i="2"/>
  <c r="P209" i="2"/>
  <c r="O209" i="2"/>
  <c r="M209" i="2"/>
  <c r="L209" i="2"/>
  <c r="K209" i="2"/>
  <c r="J209" i="2"/>
  <c r="I209" i="2"/>
  <c r="H209" i="2"/>
  <c r="G209" i="2"/>
  <c r="F209" i="2"/>
  <c r="E209" i="2"/>
  <c r="B209" i="55"/>
  <c r="A209" i="55"/>
  <c r="N209" i="55" s="1"/>
  <c r="R208" i="2"/>
  <c r="Q208" i="2"/>
  <c r="P208" i="2"/>
  <c r="O208" i="2"/>
  <c r="M208" i="2"/>
  <c r="L208" i="2"/>
  <c r="K208" i="2"/>
  <c r="J208" i="2"/>
  <c r="I208" i="2"/>
  <c r="H208" i="2"/>
  <c r="G208" i="2"/>
  <c r="F208" i="2"/>
  <c r="E208" i="2"/>
  <c r="B208" i="55"/>
  <c r="A208" i="55"/>
  <c r="N208" i="55" s="1"/>
  <c r="R207" i="2"/>
  <c r="Q207" i="2"/>
  <c r="P207" i="2"/>
  <c r="O207" i="2"/>
  <c r="M207" i="2"/>
  <c r="L207" i="2"/>
  <c r="K207" i="2"/>
  <c r="J207" i="2"/>
  <c r="I207" i="2"/>
  <c r="H207" i="2"/>
  <c r="G207" i="2"/>
  <c r="F207" i="2"/>
  <c r="E207" i="2"/>
  <c r="B207" i="55"/>
  <c r="A207" i="55"/>
  <c r="N207" i="55" s="1"/>
  <c r="R206" i="2"/>
  <c r="Q206" i="2"/>
  <c r="P206" i="2"/>
  <c r="O206" i="2"/>
  <c r="M206" i="2"/>
  <c r="L206" i="2"/>
  <c r="K206" i="2"/>
  <c r="J206" i="2"/>
  <c r="I206" i="2"/>
  <c r="H206" i="2"/>
  <c r="G206" i="2"/>
  <c r="F206" i="2"/>
  <c r="E206" i="2"/>
  <c r="B206" i="55"/>
  <c r="A206" i="55"/>
  <c r="N206" i="55" s="1"/>
  <c r="R205" i="2"/>
  <c r="Q205" i="2"/>
  <c r="P205" i="2"/>
  <c r="O205" i="2"/>
  <c r="M205" i="2"/>
  <c r="L205" i="2"/>
  <c r="K205" i="2"/>
  <c r="J205" i="2"/>
  <c r="I205" i="2"/>
  <c r="H205" i="2"/>
  <c r="G205" i="2"/>
  <c r="F205" i="2"/>
  <c r="E205" i="2"/>
  <c r="B205" i="55"/>
  <c r="A205" i="55"/>
  <c r="N205" i="55" s="1"/>
  <c r="R204" i="2"/>
  <c r="Q204" i="2"/>
  <c r="P204" i="2"/>
  <c r="O204" i="2"/>
  <c r="M204" i="2"/>
  <c r="L204" i="2"/>
  <c r="K204" i="2"/>
  <c r="J204" i="2"/>
  <c r="I204" i="2"/>
  <c r="H204" i="2"/>
  <c r="G204" i="2"/>
  <c r="F204" i="2"/>
  <c r="E204" i="2"/>
  <c r="B204" i="55"/>
  <c r="A204" i="55"/>
  <c r="N204" i="55" s="1"/>
  <c r="R203" i="2"/>
  <c r="Q203" i="2"/>
  <c r="P203" i="2"/>
  <c r="O203" i="2"/>
  <c r="M203" i="2"/>
  <c r="L203" i="2"/>
  <c r="K203" i="2"/>
  <c r="J203" i="2"/>
  <c r="I203" i="2"/>
  <c r="H203" i="2"/>
  <c r="G203" i="2"/>
  <c r="F203" i="2"/>
  <c r="E203" i="2"/>
  <c r="B203" i="55"/>
  <c r="A203" i="55"/>
  <c r="N203" i="55" s="1"/>
  <c r="R202" i="2"/>
  <c r="Q202" i="2"/>
  <c r="P202" i="2"/>
  <c r="O202" i="2"/>
  <c r="M202" i="2"/>
  <c r="L202" i="2"/>
  <c r="K202" i="2"/>
  <c r="J202" i="2"/>
  <c r="I202" i="2"/>
  <c r="H202" i="2"/>
  <c r="G202" i="2"/>
  <c r="F202" i="2"/>
  <c r="E202" i="2"/>
  <c r="B202" i="55"/>
  <c r="A202" i="55"/>
  <c r="N202" i="55" s="1"/>
  <c r="R201" i="2"/>
  <c r="Q201" i="2"/>
  <c r="P201" i="2"/>
  <c r="O201" i="2"/>
  <c r="M201" i="2"/>
  <c r="L201" i="2"/>
  <c r="K201" i="2"/>
  <c r="J201" i="2"/>
  <c r="I201" i="2"/>
  <c r="H201" i="2"/>
  <c r="G201" i="2"/>
  <c r="F201" i="2"/>
  <c r="E201" i="2"/>
  <c r="B201" i="55"/>
  <c r="A201" i="55"/>
  <c r="N201" i="55" s="1"/>
  <c r="R200" i="2"/>
  <c r="Q200" i="2"/>
  <c r="P200" i="2"/>
  <c r="O200" i="2"/>
  <c r="M200" i="2"/>
  <c r="L200" i="2"/>
  <c r="K200" i="2"/>
  <c r="J200" i="2"/>
  <c r="I200" i="2"/>
  <c r="H200" i="2"/>
  <c r="G200" i="2"/>
  <c r="F200" i="2"/>
  <c r="E200" i="2"/>
  <c r="B200" i="55"/>
  <c r="A200" i="55"/>
  <c r="N200" i="55" s="1"/>
  <c r="R199" i="2"/>
  <c r="Q199" i="2"/>
  <c r="P199" i="2"/>
  <c r="O199" i="2"/>
  <c r="M199" i="2"/>
  <c r="L199" i="2"/>
  <c r="K199" i="2"/>
  <c r="J199" i="2"/>
  <c r="I199" i="2"/>
  <c r="H199" i="2"/>
  <c r="G199" i="2"/>
  <c r="F199" i="2"/>
  <c r="E199" i="2"/>
  <c r="B199" i="55"/>
  <c r="A199" i="55"/>
  <c r="N199" i="55" s="1"/>
  <c r="R198" i="2"/>
  <c r="Q198" i="2"/>
  <c r="P198" i="2"/>
  <c r="O198" i="2"/>
  <c r="M198" i="2"/>
  <c r="L198" i="2"/>
  <c r="K198" i="2"/>
  <c r="J198" i="2"/>
  <c r="I198" i="2"/>
  <c r="H198" i="2"/>
  <c r="G198" i="2"/>
  <c r="F198" i="2"/>
  <c r="E198" i="2"/>
  <c r="B198" i="55"/>
  <c r="A198" i="55"/>
  <c r="N198" i="55" s="1"/>
  <c r="R197" i="2"/>
  <c r="Q197" i="2"/>
  <c r="P197" i="2"/>
  <c r="O197" i="2"/>
  <c r="M197" i="2"/>
  <c r="L197" i="2"/>
  <c r="K197" i="2"/>
  <c r="J197" i="2"/>
  <c r="I197" i="2"/>
  <c r="H197" i="2"/>
  <c r="G197" i="2"/>
  <c r="F197" i="2"/>
  <c r="E197" i="2"/>
  <c r="B197" i="55"/>
  <c r="A197" i="55"/>
  <c r="N197" i="55" s="1"/>
  <c r="R196" i="2"/>
  <c r="Q196" i="2"/>
  <c r="P196" i="2"/>
  <c r="O196" i="2"/>
  <c r="M196" i="2"/>
  <c r="L196" i="2"/>
  <c r="K196" i="2"/>
  <c r="J196" i="2"/>
  <c r="I196" i="2"/>
  <c r="H196" i="2"/>
  <c r="G196" i="2"/>
  <c r="F196" i="2"/>
  <c r="E196" i="2"/>
  <c r="B196" i="55"/>
  <c r="A196" i="55"/>
  <c r="N196" i="55" s="1"/>
  <c r="R195" i="2"/>
  <c r="Q195" i="2"/>
  <c r="P195" i="2"/>
  <c r="O195" i="2"/>
  <c r="M195" i="2"/>
  <c r="L195" i="2"/>
  <c r="K195" i="2"/>
  <c r="J195" i="2"/>
  <c r="I195" i="2"/>
  <c r="H195" i="2"/>
  <c r="G195" i="2"/>
  <c r="F195" i="2"/>
  <c r="E195" i="2"/>
  <c r="B195" i="55"/>
  <c r="A195" i="55"/>
  <c r="N195" i="55" s="1"/>
  <c r="R194" i="2"/>
  <c r="Q194" i="2"/>
  <c r="P194" i="2"/>
  <c r="O194" i="2"/>
  <c r="M194" i="2"/>
  <c r="L194" i="2"/>
  <c r="K194" i="2"/>
  <c r="J194" i="2"/>
  <c r="I194" i="2"/>
  <c r="H194" i="2"/>
  <c r="G194" i="2"/>
  <c r="F194" i="2"/>
  <c r="E194" i="2"/>
  <c r="B194" i="55"/>
  <c r="A194" i="55"/>
  <c r="N194" i="55" s="1"/>
  <c r="R193" i="2"/>
  <c r="Q193" i="2"/>
  <c r="P193" i="2"/>
  <c r="O193" i="2"/>
  <c r="M193" i="2"/>
  <c r="L193" i="2"/>
  <c r="K193" i="2"/>
  <c r="J193" i="2"/>
  <c r="I193" i="2"/>
  <c r="H193" i="2"/>
  <c r="G193" i="2"/>
  <c r="F193" i="2"/>
  <c r="E193" i="2"/>
  <c r="B193" i="55"/>
  <c r="A193" i="55"/>
  <c r="N193" i="55" s="1"/>
  <c r="R192" i="2"/>
  <c r="Q192" i="2"/>
  <c r="P192" i="2"/>
  <c r="O192" i="2"/>
  <c r="M192" i="2"/>
  <c r="L192" i="2"/>
  <c r="K192" i="2"/>
  <c r="J192" i="2"/>
  <c r="I192" i="2"/>
  <c r="H192" i="2"/>
  <c r="G192" i="2"/>
  <c r="F192" i="2"/>
  <c r="E192" i="2"/>
  <c r="B192" i="55"/>
  <c r="A192" i="55"/>
  <c r="N192" i="55" s="1"/>
  <c r="R191" i="2"/>
  <c r="Q191" i="2"/>
  <c r="P191" i="2"/>
  <c r="O191" i="2"/>
  <c r="M191" i="2"/>
  <c r="L191" i="2"/>
  <c r="K191" i="2"/>
  <c r="J191" i="2"/>
  <c r="I191" i="2"/>
  <c r="H191" i="2"/>
  <c r="G191" i="2"/>
  <c r="F191" i="2"/>
  <c r="E191" i="2"/>
  <c r="B191" i="55"/>
  <c r="A191" i="55"/>
  <c r="N191" i="55" s="1"/>
  <c r="R190" i="2"/>
  <c r="Q190" i="2"/>
  <c r="P190" i="2"/>
  <c r="O190" i="2"/>
  <c r="M190" i="2"/>
  <c r="L190" i="2"/>
  <c r="K190" i="2"/>
  <c r="J190" i="2"/>
  <c r="I190" i="2"/>
  <c r="H190" i="2"/>
  <c r="G190" i="2"/>
  <c r="F190" i="2"/>
  <c r="E190" i="2"/>
  <c r="B190" i="55"/>
  <c r="A190" i="55"/>
  <c r="N190" i="55" s="1"/>
  <c r="R189" i="2"/>
  <c r="Q189" i="2"/>
  <c r="P189" i="2"/>
  <c r="O189" i="2"/>
  <c r="M189" i="2"/>
  <c r="L189" i="2"/>
  <c r="K189" i="2"/>
  <c r="J189" i="2"/>
  <c r="I189" i="2"/>
  <c r="H189" i="2"/>
  <c r="G189" i="2"/>
  <c r="F189" i="2"/>
  <c r="E189" i="2"/>
  <c r="B189" i="55"/>
  <c r="A189" i="55"/>
  <c r="N189" i="55" s="1"/>
  <c r="R188" i="2"/>
  <c r="Q188" i="2"/>
  <c r="P188" i="2"/>
  <c r="O188" i="2"/>
  <c r="M188" i="2"/>
  <c r="L188" i="2"/>
  <c r="K188" i="2"/>
  <c r="J188" i="2"/>
  <c r="I188" i="2"/>
  <c r="H188" i="2"/>
  <c r="G188" i="2"/>
  <c r="F188" i="2"/>
  <c r="E188" i="2"/>
  <c r="B188" i="55"/>
  <c r="A188" i="55"/>
  <c r="N188" i="55" s="1"/>
  <c r="R187" i="2"/>
  <c r="Q187" i="2"/>
  <c r="P187" i="2"/>
  <c r="O187" i="2"/>
  <c r="M187" i="2"/>
  <c r="L187" i="2"/>
  <c r="K187" i="2"/>
  <c r="J187" i="2"/>
  <c r="I187" i="2"/>
  <c r="H187" i="2"/>
  <c r="G187" i="2"/>
  <c r="F187" i="2"/>
  <c r="E187" i="2"/>
  <c r="B187" i="55"/>
  <c r="A187" i="55"/>
  <c r="N187" i="55" s="1"/>
  <c r="R186" i="2"/>
  <c r="Q186" i="2"/>
  <c r="P186" i="2"/>
  <c r="O186" i="2"/>
  <c r="M186" i="2"/>
  <c r="L186" i="2"/>
  <c r="K186" i="2"/>
  <c r="J186" i="2"/>
  <c r="I186" i="2"/>
  <c r="H186" i="2"/>
  <c r="G186" i="2"/>
  <c r="F186" i="2"/>
  <c r="E186" i="2"/>
  <c r="B186" i="55"/>
  <c r="A186" i="55"/>
  <c r="N186" i="55" s="1"/>
  <c r="R185" i="2"/>
  <c r="Q185" i="2"/>
  <c r="P185" i="2"/>
  <c r="O185" i="2"/>
  <c r="M185" i="2"/>
  <c r="L185" i="2"/>
  <c r="K185" i="2"/>
  <c r="J185" i="2"/>
  <c r="I185" i="2"/>
  <c r="H185" i="2"/>
  <c r="G185" i="2"/>
  <c r="F185" i="2"/>
  <c r="E185" i="2"/>
  <c r="B185" i="55"/>
  <c r="A185" i="55"/>
  <c r="N185" i="55" s="1"/>
  <c r="R184" i="2"/>
  <c r="Q184" i="2"/>
  <c r="P184" i="2"/>
  <c r="O184" i="2"/>
  <c r="M184" i="2"/>
  <c r="L184" i="2"/>
  <c r="K184" i="2"/>
  <c r="J184" i="2"/>
  <c r="I184" i="2"/>
  <c r="H184" i="2"/>
  <c r="G184" i="2"/>
  <c r="F184" i="2"/>
  <c r="E184" i="2"/>
  <c r="B184" i="55"/>
  <c r="A184" i="55"/>
  <c r="N184" i="55" s="1"/>
  <c r="R183" i="2"/>
  <c r="Q183" i="2"/>
  <c r="P183" i="2"/>
  <c r="O183" i="2"/>
  <c r="M183" i="2"/>
  <c r="L183" i="2"/>
  <c r="K183" i="2"/>
  <c r="J183" i="2"/>
  <c r="I183" i="2"/>
  <c r="H183" i="2"/>
  <c r="G183" i="2"/>
  <c r="F183" i="2"/>
  <c r="E183" i="2"/>
  <c r="B183" i="55"/>
  <c r="A183" i="55"/>
  <c r="N183" i="55" s="1"/>
  <c r="R182" i="2"/>
  <c r="Q182" i="2"/>
  <c r="P182" i="2"/>
  <c r="O182" i="2"/>
  <c r="M182" i="2"/>
  <c r="L182" i="2"/>
  <c r="K182" i="2"/>
  <c r="J182" i="2"/>
  <c r="I182" i="2"/>
  <c r="H182" i="2"/>
  <c r="G182" i="2"/>
  <c r="F182" i="2"/>
  <c r="E182" i="2"/>
  <c r="B182" i="55"/>
  <c r="A182" i="55"/>
  <c r="N182" i="55" s="1"/>
  <c r="R181" i="2"/>
  <c r="Q181" i="2"/>
  <c r="P181" i="2"/>
  <c r="O181" i="2"/>
  <c r="M181" i="2"/>
  <c r="L181" i="2"/>
  <c r="K181" i="2"/>
  <c r="J181" i="2"/>
  <c r="I181" i="2"/>
  <c r="H181" i="2"/>
  <c r="G181" i="2"/>
  <c r="F181" i="2"/>
  <c r="E181" i="2"/>
  <c r="B181" i="55"/>
  <c r="A181" i="55"/>
  <c r="N181" i="55" s="1"/>
  <c r="R180" i="2"/>
  <c r="Q180" i="2"/>
  <c r="P180" i="2"/>
  <c r="O180" i="2"/>
  <c r="M180" i="2"/>
  <c r="L180" i="2"/>
  <c r="K180" i="2"/>
  <c r="J180" i="2"/>
  <c r="I180" i="2"/>
  <c r="H180" i="2"/>
  <c r="G180" i="2"/>
  <c r="F180" i="2"/>
  <c r="E180" i="2"/>
  <c r="B180" i="55"/>
  <c r="A180" i="55"/>
  <c r="N180" i="55" s="1"/>
  <c r="R179" i="2"/>
  <c r="Q179" i="2"/>
  <c r="P179" i="2"/>
  <c r="O179" i="2"/>
  <c r="M179" i="2"/>
  <c r="L179" i="2"/>
  <c r="K179" i="2"/>
  <c r="J179" i="2"/>
  <c r="I179" i="2"/>
  <c r="H179" i="2"/>
  <c r="G179" i="2"/>
  <c r="F179" i="2"/>
  <c r="E179" i="2"/>
  <c r="B179" i="55"/>
  <c r="A179" i="55"/>
  <c r="N179" i="55" s="1"/>
  <c r="R178" i="2"/>
  <c r="Q178" i="2"/>
  <c r="P178" i="2"/>
  <c r="O178" i="2"/>
  <c r="M178" i="2"/>
  <c r="L178" i="2"/>
  <c r="K178" i="2"/>
  <c r="J178" i="2"/>
  <c r="I178" i="2"/>
  <c r="H178" i="2"/>
  <c r="G178" i="2"/>
  <c r="F178" i="2"/>
  <c r="E178" i="2"/>
  <c r="B178" i="55"/>
  <c r="A178" i="55"/>
  <c r="N178" i="55" s="1"/>
  <c r="R177" i="2"/>
  <c r="Q177" i="2"/>
  <c r="P177" i="2"/>
  <c r="O177" i="2"/>
  <c r="M177" i="2"/>
  <c r="L177" i="2"/>
  <c r="K177" i="2"/>
  <c r="J177" i="2"/>
  <c r="I177" i="2"/>
  <c r="H177" i="2"/>
  <c r="G177" i="2"/>
  <c r="F177" i="2"/>
  <c r="E177" i="2"/>
  <c r="B177" i="55"/>
  <c r="A177" i="55"/>
  <c r="N177" i="55" s="1"/>
  <c r="R176" i="2"/>
  <c r="Q176" i="2"/>
  <c r="P176" i="2"/>
  <c r="O176" i="2"/>
  <c r="M176" i="2"/>
  <c r="L176" i="2"/>
  <c r="K176" i="2"/>
  <c r="J176" i="2"/>
  <c r="I176" i="2"/>
  <c r="H176" i="2"/>
  <c r="G176" i="2"/>
  <c r="F176" i="2"/>
  <c r="E176" i="2"/>
  <c r="B176" i="55"/>
  <c r="A176" i="55"/>
  <c r="N176" i="55" s="1"/>
  <c r="R175" i="2"/>
  <c r="Q175" i="2"/>
  <c r="P175" i="2"/>
  <c r="O175" i="2"/>
  <c r="M175" i="2"/>
  <c r="L175" i="2"/>
  <c r="K175" i="2"/>
  <c r="J175" i="2"/>
  <c r="I175" i="2"/>
  <c r="H175" i="2"/>
  <c r="G175" i="2"/>
  <c r="F175" i="2"/>
  <c r="E175" i="2"/>
  <c r="B175" i="55"/>
  <c r="A175" i="55"/>
  <c r="N175" i="55" s="1"/>
  <c r="R174" i="2"/>
  <c r="Q174" i="2"/>
  <c r="P174" i="2"/>
  <c r="O174" i="2"/>
  <c r="M174" i="2"/>
  <c r="L174" i="2"/>
  <c r="K174" i="2"/>
  <c r="J174" i="2"/>
  <c r="I174" i="2"/>
  <c r="H174" i="2"/>
  <c r="G174" i="2"/>
  <c r="F174" i="2"/>
  <c r="E174" i="2"/>
  <c r="B174" i="55"/>
  <c r="A174" i="55"/>
  <c r="N174" i="55" s="1"/>
  <c r="R173" i="2"/>
  <c r="Q173" i="2"/>
  <c r="P173" i="2"/>
  <c r="O173" i="2"/>
  <c r="M173" i="2"/>
  <c r="L173" i="2"/>
  <c r="K173" i="2"/>
  <c r="J173" i="2"/>
  <c r="I173" i="2"/>
  <c r="H173" i="2"/>
  <c r="G173" i="2"/>
  <c r="F173" i="2"/>
  <c r="E173" i="2"/>
  <c r="B173" i="55"/>
  <c r="A173" i="55"/>
  <c r="N173" i="55" s="1"/>
  <c r="R172" i="2"/>
  <c r="Q172" i="2"/>
  <c r="P172" i="2"/>
  <c r="O172" i="2"/>
  <c r="M172" i="2"/>
  <c r="L172" i="2"/>
  <c r="K172" i="2"/>
  <c r="J172" i="2"/>
  <c r="I172" i="2"/>
  <c r="H172" i="2"/>
  <c r="G172" i="2"/>
  <c r="F172" i="2"/>
  <c r="E172" i="2"/>
  <c r="B172" i="55"/>
  <c r="A172" i="55"/>
  <c r="N172" i="55" s="1"/>
  <c r="R171" i="2"/>
  <c r="Q171" i="2"/>
  <c r="P171" i="2"/>
  <c r="O171" i="2"/>
  <c r="M171" i="2"/>
  <c r="L171" i="2"/>
  <c r="K171" i="2"/>
  <c r="J171" i="2"/>
  <c r="I171" i="2"/>
  <c r="H171" i="2"/>
  <c r="G171" i="2"/>
  <c r="F171" i="2"/>
  <c r="E171" i="2"/>
  <c r="B171" i="55"/>
  <c r="A171" i="55"/>
  <c r="N171" i="55" s="1"/>
  <c r="R170" i="2"/>
  <c r="Q170" i="2"/>
  <c r="P170" i="2"/>
  <c r="O170" i="2"/>
  <c r="M170" i="2"/>
  <c r="L170" i="2"/>
  <c r="K170" i="2"/>
  <c r="J170" i="2"/>
  <c r="I170" i="2"/>
  <c r="H170" i="2"/>
  <c r="G170" i="2"/>
  <c r="F170" i="2"/>
  <c r="E170" i="2"/>
  <c r="B170" i="55"/>
  <c r="A170" i="55"/>
  <c r="N170" i="55" s="1"/>
  <c r="R169" i="2"/>
  <c r="Q169" i="2"/>
  <c r="P169" i="2"/>
  <c r="O169" i="2"/>
  <c r="M169" i="2"/>
  <c r="L169" i="2"/>
  <c r="K169" i="2"/>
  <c r="J169" i="2"/>
  <c r="I169" i="2"/>
  <c r="H169" i="2"/>
  <c r="G169" i="2"/>
  <c r="F169" i="2"/>
  <c r="E169" i="2"/>
  <c r="B169" i="55"/>
  <c r="A169" i="55"/>
  <c r="N169" i="55" s="1"/>
  <c r="R168" i="2"/>
  <c r="Q168" i="2"/>
  <c r="P168" i="2"/>
  <c r="O168" i="2"/>
  <c r="M168" i="2"/>
  <c r="L168" i="2"/>
  <c r="K168" i="2"/>
  <c r="J168" i="2"/>
  <c r="I168" i="2"/>
  <c r="H168" i="2"/>
  <c r="G168" i="2"/>
  <c r="F168" i="2"/>
  <c r="E168" i="2"/>
  <c r="B168" i="55"/>
  <c r="A168" i="55"/>
  <c r="N168" i="55" s="1"/>
  <c r="R167" i="2"/>
  <c r="Q167" i="2"/>
  <c r="P167" i="2"/>
  <c r="O167" i="2"/>
  <c r="M167" i="2"/>
  <c r="L167" i="2"/>
  <c r="K167" i="2"/>
  <c r="J167" i="2"/>
  <c r="I167" i="2"/>
  <c r="H167" i="2"/>
  <c r="G167" i="2"/>
  <c r="F167" i="2"/>
  <c r="E167" i="2"/>
  <c r="B167" i="55"/>
  <c r="A167" i="55"/>
  <c r="N167" i="55" s="1"/>
  <c r="R166" i="2"/>
  <c r="Q166" i="2"/>
  <c r="P166" i="2"/>
  <c r="O166" i="2"/>
  <c r="M166" i="2"/>
  <c r="L166" i="2"/>
  <c r="K166" i="2"/>
  <c r="J166" i="2"/>
  <c r="I166" i="2"/>
  <c r="H166" i="2"/>
  <c r="G166" i="2"/>
  <c r="F166" i="2"/>
  <c r="E166" i="2"/>
  <c r="B166" i="55"/>
  <c r="A166" i="55"/>
  <c r="N166" i="55" s="1"/>
  <c r="R165" i="2"/>
  <c r="Q165" i="2"/>
  <c r="P165" i="2"/>
  <c r="O165" i="2"/>
  <c r="M165" i="2"/>
  <c r="L165" i="2"/>
  <c r="K165" i="2"/>
  <c r="J165" i="2"/>
  <c r="I165" i="2"/>
  <c r="H165" i="2"/>
  <c r="G165" i="2"/>
  <c r="F165" i="2"/>
  <c r="E165" i="2"/>
  <c r="B165" i="55"/>
  <c r="A165" i="55"/>
  <c r="N165" i="55" s="1"/>
  <c r="R164" i="2"/>
  <c r="Q164" i="2"/>
  <c r="P164" i="2"/>
  <c r="O164" i="2"/>
  <c r="M164" i="2"/>
  <c r="L164" i="2"/>
  <c r="K164" i="2"/>
  <c r="J164" i="2"/>
  <c r="I164" i="2"/>
  <c r="H164" i="2"/>
  <c r="G164" i="2"/>
  <c r="F164" i="2"/>
  <c r="E164" i="2"/>
  <c r="B164" i="55"/>
  <c r="A164" i="55"/>
  <c r="N164" i="55" s="1"/>
  <c r="R163" i="2"/>
  <c r="Q163" i="2"/>
  <c r="P163" i="2"/>
  <c r="O163" i="2"/>
  <c r="M163" i="2"/>
  <c r="L163" i="2"/>
  <c r="K163" i="2"/>
  <c r="J163" i="2"/>
  <c r="I163" i="2"/>
  <c r="H163" i="2"/>
  <c r="G163" i="2"/>
  <c r="F163" i="2"/>
  <c r="E163" i="2"/>
  <c r="B163" i="55"/>
  <c r="A163" i="55"/>
  <c r="N163" i="55" s="1"/>
  <c r="R162" i="2"/>
  <c r="Q162" i="2"/>
  <c r="P162" i="2"/>
  <c r="O162" i="2"/>
  <c r="M162" i="2"/>
  <c r="L162" i="2"/>
  <c r="K162" i="2"/>
  <c r="J162" i="2"/>
  <c r="I162" i="2"/>
  <c r="H162" i="2"/>
  <c r="G162" i="2"/>
  <c r="F162" i="2"/>
  <c r="E162" i="2"/>
  <c r="B162" i="55"/>
  <c r="A162" i="55"/>
  <c r="N162" i="55" s="1"/>
  <c r="R161" i="2"/>
  <c r="Q161" i="2"/>
  <c r="P161" i="2"/>
  <c r="O161" i="2"/>
  <c r="M161" i="2"/>
  <c r="L161" i="2"/>
  <c r="K161" i="2"/>
  <c r="J161" i="2"/>
  <c r="I161" i="2"/>
  <c r="H161" i="2"/>
  <c r="G161" i="2"/>
  <c r="F161" i="2"/>
  <c r="E161" i="2"/>
  <c r="B161" i="55"/>
  <c r="A161" i="55"/>
  <c r="N161" i="55" s="1"/>
  <c r="R160" i="2"/>
  <c r="Q160" i="2"/>
  <c r="P160" i="2"/>
  <c r="O160" i="2"/>
  <c r="M160" i="2"/>
  <c r="L160" i="2"/>
  <c r="K160" i="2"/>
  <c r="J160" i="2"/>
  <c r="I160" i="2"/>
  <c r="H160" i="2"/>
  <c r="G160" i="2"/>
  <c r="F160" i="2"/>
  <c r="E160" i="2"/>
  <c r="B160" i="55"/>
  <c r="A160" i="55"/>
  <c r="N160" i="55" s="1"/>
  <c r="R159" i="2"/>
  <c r="Q159" i="2"/>
  <c r="P159" i="2"/>
  <c r="O159" i="2"/>
  <c r="M159" i="2"/>
  <c r="L159" i="2"/>
  <c r="K159" i="2"/>
  <c r="J159" i="2"/>
  <c r="I159" i="2"/>
  <c r="H159" i="2"/>
  <c r="G159" i="2"/>
  <c r="F159" i="2"/>
  <c r="E159" i="2"/>
  <c r="B159" i="55"/>
  <c r="A159" i="55"/>
  <c r="N159" i="55" s="1"/>
  <c r="R158" i="2"/>
  <c r="Q158" i="2"/>
  <c r="P158" i="2"/>
  <c r="O158" i="2"/>
  <c r="M158" i="2"/>
  <c r="L158" i="2"/>
  <c r="K158" i="2"/>
  <c r="J158" i="2"/>
  <c r="I158" i="2"/>
  <c r="H158" i="2"/>
  <c r="G158" i="2"/>
  <c r="F158" i="2"/>
  <c r="E158" i="2"/>
  <c r="B158" i="55"/>
  <c r="A158" i="55"/>
  <c r="N158" i="55" s="1"/>
  <c r="R157" i="2"/>
  <c r="Q157" i="2"/>
  <c r="P157" i="2"/>
  <c r="O157" i="2"/>
  <c r="M157" i="2"/>
  <c r="L157" i="2"/>
  <c r="K157" i="2"/>
  <c r="J157" i="2"/>
  <c r="I157" i="2"/>
  <c r="H157" i="2"/>
  <c r="G157" i="2"/>
  <c r="F157" i="2"/>
  <c r="E157" i="2"/>
  <c r="B157" i="55"/>
  <c r="A157" i="55"/>
  <c r="N157" i="55" s="1"/>
  <c r="R156" i="2"/>
  <c r="Q156" i="2"/>
  <c r="P156" i="2"/>
  <c r="O156" i="2"/>
  <c r="M156" i="2"/>
  <c r="L156" i="2"/>
  <c r="K156" i="2"/>
  <c r="J156" i="2"/>
  <c r="I156" i="2"/>
  <c r="H156" i="2"/>
  <c r="G156" i="2"/>
  <c r="F156" i="2"/>
  <c r="E156" i="2"/>
  <c r="B156" i="55"/>
  <c r="A156" i="55"/>
  <c r="N156" i="55" s="1"/>
  <c r="R155" i="2"/>
  <c r="Q155" i="2"/>
  <c r="P155" i="2"/>
  <c r="O155" i="2"/>
  <c r="M155" i="2"/>
  <c r="L155" i="2"/>
  <c r="K155" i="2"/>
  <c r="J155" i="2"/>
  <c r="I155" i="2"/>
  <c r="H155" i="2"/>
  <c r="G155" i="2"/>
  <c r="F155" i="2"/>
  <c r="E155" i="2"/>
  <c r="B155" i="55"/>
  <c r="A155" i="55"/>
  <c r="N155" i="55" s="1"/>
  <c r="R154" i="2"/>
  <c r="Q154" i="2"/>
  <c r="P154" i="2"/>
  <c r="O154" i="2"/>
  <c r="M154" i="2"/>
  <c r="L154" i="2"/>
  <c r="K154" i="2"/>
  <c r="J154" i="2"/>
  <c r="I154" i="2"/>
  <c r="H154" i="2"/>
  <c r="G154" i="2"/>
  <c r="F154" i="2"/>
  <c r="E154" i="2"/>
  <c r="B154" i="55"/>
  <c r="A154" i="55"/>
  <c r="N154" i="55" s="1"/>
  <c r="R153" i="2"/>
  <c r="Q153" i="2"/>
  <c r="P153" i="2"/>
  <c r="O153" i="2"/>
  <c r="M153" i="2"/>
  <c r="L153" i="2"/>
  <c r="K153" i="2"/>
  <c r="J153" i="2"/>
  <c r="I153" i="2"/>
  <c r="H153" i="2"/>
  <c r="G153" i="2"/>
  <c r="F153" i="2"/>
  <c r="E153" i="2"/>
  <c r="B153" i="55"/>
  <c r="A153" i="55"/>
  <c r="N153" i="55" s="1"/>
  <c r="R152" i="2"/>
  <c r="Q152" i="2"/>
  <c r="P152" i="2"/>
  <c r="O152" i="2"/>
  <c r="M152" i="2"/>
  <c r="L152" i="2"/>
  <c r="K152" i="2"/>
  <c r="J152" i="2"/>
  <c r="I152" i="2"/>
  <c r="H152" i="2"/>
  <c r="G152" i="2"/>
  <c r="F152" i="2"/>
  <c r="E152" i="2"/>
  <c r="B152" i="55"/>
  <c r="A152" i="55"/>
  <c r="N152" i="55" s="1"/>
  <c r="R151" i="2"/>
  <c r="Q151" i="2"/>
  <c r="P151" i="2"/>
  <c r="O151" i="2"/>
  <c r="M151" i="2"/>
  <c r="L151" i="2"/>
  <c r="K151" i="2"/>
  <c r="J151" i="2"/>
  <c r="I151" i="2"/>
  <c r="H151" i="2"/>
  <c r="G151" i="2"/>
  <c r="F151" i="2"/>
  <c r="E151" i="2"/>
  <c r="B151" i="55"/>
  <c r="A151" i="55"/>
  <c r="N151" i="55" s="1"/>
  <c r="R150" i="2"/>
  <c r="Q150" i="2"/>
  <c r="P150" i="2"/>
  <c r="O150" i="2"/>
  <c r="M150" i="2"/>
  <c r="L150" i="2"/>
  <c r="K150" i="2"/>
  <c r="J150" i="2"/>
  <c r="I150" i="2"/>
  <c r="H150" i="2"/>
  <c r="G150" i="2"/>
  <c r="F150" i="2"/>
  <c r="E150" i="2"/>
  <c r="B150" i="55"/>
  <c r="A150" i="55"/>
  <c r="N150" i="55" s="1"/>
  <c r="R149" i="2"/>
  <c r="Q149" i="2"/>
  <c r="P149" i="2"/>
  <c r="O149" i="2"/>
  <c r="M149" i="2"/>
  <c r="L149" i="2"/>
  <c r="K149" i="2"/>
  <c r="J149" i="2"/>
  <c r="I149" i="2"/>
  <c r="H149" i="2"/>
  <c r="G149" i="2"/>
  <c r="F149" i="2"/>
  <c r="E149" i="2"/>
  <c r="B149" i="55"/>
  <c r="A149" i="55"/>
  <c r="N149" i="55" s="1"/>
  <c r="R148" i="2"/>
  <c r="Q148" i="2"/>
  <c r="P148" i="2"/>
  <c r="O148" i="2"/>
  <c r="M148" i="2"/>
  <c r="L148" i="2"/>
  <c r="K148" i="2"/>
  <c r="J148" i="2"/>
  <c r="I148" i="2"/>
  <c r="H148" i="2"/>
  <c r="G148" i="2"/>
  <c r="F148" i="2"/>
  <c r="E148" i="2"/>
  <c r="B148" i="55"/>
  <c r="A148" i="55"/>
  <c r="N148" i="55" s="1"/>
  <c r="R147" i="2"/>
  <c r="Q147" i="2"/>
  <c r="P147" i="2"/>
  <c r="O147" i="2"/>
  <c r="M147" i="2"/>
  <c r="L147" i="2"/>
  <c r="K147" i="2"/>
  <c r="J147" i="2"/>
  <c r="I147" i="2"/>
  <c r="H147" i="2"/>
  <c r="G147" i="2"/>
  <c r="F147" i="2"/>
  <c r="E147" i="2"/>
  <c r="B147" i="55"/>
  <c r="A147" i="55"/>
  <c r="N147" i="55" s="1"/>
  <c r="R146" i="2"/>
  <c r="Q146" i="2"/>
  <c r="P146" i="2"/>
  <c r="O146" i="2"/>
  <c r="M146" i="2"/>
  <c r="L146" i="2"/>
  <c r="K146" i="2"/>
  <c r="J146" i="2"/>
  <c r="I146" i="2"/>
  <c r="H146" i="2"/>
  <c r="G146" i="2"/>
  <c r="F146" i="2"/>
  <c r="E146" i="2"/>
  <c r="B146" i="55"/>
  <c r="A146" i="55"/>
  <c r="N146" i="55" s="1"/>
  <c r="R145" i="2"/>
  <c r="Q145" i="2"/>
  <c r="P145" i="2"/>
  <c r="O145" i="2"/>
  <c r="M145" i="2"/>
  <c r="L145" i="2"/>
  <c r="K145" i="2"/>
  <c r="J145" i="2"/>
  <c r="I145" i="2"/>
  <c r="H145" i="2"/>
  <c r="G145" i="2"/>
  <c r="F145" i="2"/>
  <c r="E145" i="2"/>
  <c r="B145" i="55"/>
  <c r="A145" i="55"/>
  <c r="N145" i="55" s="1"/>
  <c r="R144" i="2"/>
  <c r="Q144" i="2"/>
  <c r="P144" i="2"/>
  <c r="O144" i="2"/>
  <c r="M144" i="2"/>
  <c r="L144" i="2"/>
  <c r="K144" i="2"/>
  <c r="J144" i="2"/>
  <c r="I144" i="2"/>
  <c r="H144" i="2"/>
  <c r="G144" i="2"/>
  <c r="F144" i="2"/>
  <c r="E144" i="2"/>
  <c r="B144" i="55"/>
  <c r="A144" i="55"/>
  <c r="N144" i="55" s="1"/>
  <c r="R143" i="2"/>
  <c r="Q143" i="2"/>
  <c r="P143" i="2"/>
  <c r="O143" i="2"/>
  <c r="M143" i="2"/>
  <c r="L143" i="2"/>
  <c r="K143" i="2"/>
  <c r="J143" i="2"/>
  <c r="I143" i="2"/>
  <c r="H143" i="2"/>
  <c r="G143" i="2"/>
  <c r="F143" i="2"/>
  <c r="E143" i="2"/>
  <c r="B143" i="55"/>
  <c r="A143" i="55"/>
  <c r="N143" i="55" s="1"/>
  <c r="R142" i="2"/>
  <c r="Q142" i="2"/>
  <c r="P142" i="2"/>
  <c r="O142" i="2"/>
  <c r="M142" i="2"/>
  <c r="L142" i="2"/>
  <c r="K142" i="2"/>
  <c r="J142" i="2"/>
  <c r="I142" i="2"/>
  <c r="H142" i="2"/>
  <c r="G142" i="2"/>
  <c r="F142" i="2"/>
  <c r="E142" i="2"/>
  <c r="B142" i="55"/>
  <c r="A142" i="55"/>
  <c r="N142" i="55" s="1"/>
  <c r="R141" i="2"/>
  <c r="Q141" i="2"/>
  <c r="P141" i="2"/>
  <c r="O141" i="2"/>
  <c r="M141" i="2"/>
  <c r="L141" i="2"/>
  <c r="K141" i="2"/>
  <c r="J141" i="2"/>
  <c r="I141" i="2"/>
  <c r="H141" i="2"/>
  <c r="G141" i="2"/>
  <c r="F141" i="2"/>
  <c r="E141" i="2"/>
  <c r="B141" i="55"/>
  <c r="A141" i="55"/>
  <c r="N141" i="55" s="1"/>
  <c r="R140" i="2"/>
  <c r="Q140" i="2"/>
  <c r="P140" i="2"/>
  <c r="O140" i="2"/>
  <c r="M140" i="2"/>
  <c r="L140" i="2"/>
  <c r="K140" i="2"/>
  <c r="J140" i="2"/>
  <c r="I140" i="2"/>
  <c r="H140" i="2"/>
  <c r="G140" i="2"/>
  <c r="F140" i="2"/>
  <c r="E140" i="2"/>
  <c r="B140" i="55"/>
  <c r="A140" i="55"/>
  <c r="N140" i="55" s="1"/>
  <c r="R139" i="2"/>
  <c r="Q139" i="2"/>
  <c r="P139" i="2"/>
  <c r="O139" i="2"/>
  <c r="M139" i="2"/>
  <c r="L139" i="2"/>
  <c r="K139" i="2"/>
  <c r="J139" i="2"/>
  <c r="I139" i="2"/>
  <c r="H139" i="2"/>
  <c r="G139" i="2"/>
  <c r="F139" i="2"/>
  <c r="E139" i="2"/>
  <c r="B139" i="55"/>
  <c r="A139" i="55"/>
  <c r="N139" i="55" s="1"/>
  <c r="R138" i="2"/>
  <c r="Q138" i="2"/>
  <c r="P138" i="2"/>
  <c r="O138" i="2"/>
  <c r="M138" i="2"/>
  <c r="L138" i="2"/>
  <c r="K138" i="2"/>
  <c r="J138" i="2"/>
  <c r="I138" i="2"/>
  <c r="H138" i="2"/>
  <c r="G138" i="2"/>
  <c r="F138" i="2"/>
  <c r="E138" i="2"/>
  <c r="B138" i="55"/>
  <c r="A138" i="55"/>
  <c r="N138" i="55" s="1"/>
  <c r="R137" i="2"/>
  <c r="Q137" i="2"/>
  <c r="P137" i="2"/>
  <c r="O137" i="2"/>
  <c r="M137" i="2"/>
  <c r="L137" i="2"/>
  <c r="K137" i="2"/>
  <c r="J137" i="2"/>
  <c r="I137" i="2"/>
  <c r="H137" i="2"/>
  <c r="G137" i="2"/>
  <c r="F137" i="2"/>
  <c r="E137" i="2"/>
  <c r="B137" i="55"/>
  <c r="A137" i="55"/>
  <c r="N137" i="55" s="1"/>
  <c r="R136" i="2"/>
  <c r="Q136" i="2"/>
  <c r="P136" i="2"/>
  <c r="O136" i="2"/>
  <c r="M136" i="2"/>
  <c r="L136" i="2"/>
  <c r="K136" i="2"/>
  <c r="J136" i="2"/>
  <c r="I136" i="2"/>
  <c r="H136" i="2"/>
  <c r="G136" i="2"/>
  <c r="F136" i="2"/>
  <c r="E136" i="2"/>
  <c r="B136" i="55"/>
  <c r="A136" i="55"/>
  <c r="N136" i="55" s="1"/>
  <c r="R135" i="2"/>
  <c r="Q135" i="2"/>
  <c r="P135" i="2"/>
  <c r="O135" i="2"/>
  <c r="M135" i="2"/>
  <c r="L135" i="2"/>
  <c r="K135" i="2"/>
  <c r="J135" i="2"/>
  <c r="I135" i="2"/>
  <c r="H135" i="2"/>
  <c r="G135" i="2"/>
  <c r="F135" i="2"/>
  <c r="E135" i="2"/>
  <c r="B135" i="55"/>
  <c r="A135" i="55"/>
  <c r="N135" i="55" s="1"/>
  <c r="R134" i="2"/>
  <c r="Q134" i="2"/>
  <c r="P134" i="2"/>
  <c r="O134" i="2"/>
  <c r="M134" i="2"/>
  <c r="L134" i="2"/>
  <c r="K134" i="2"/>
  <c r="J134" i="2"/>
  <c r="I134" i="2"/>
  <c r="H134" i="2"/>
  <c r="G134" i="2"/>
  <c r="F134" i="2"/>
  <c r="E134" i="2"/>
  <c r="B134" i="55"/>
  <c r="A134" i="55"/>
  <c r="N134" i="55" s="1"/>
  <c r="R133" i="2"/>
  <c r="Q133" i="2"/>
  <c r="P133" i="2"/>
  <c r="O133" i="2"/>
  <c r="M133" i="2"/>
  <c r="L133" i="2"/>
  <c r="K133" i="2"/>
  <c r="J133" i="2"/>
  <c r="I133" i="2"/>
  <c r="H133" i="2"/>
  <c r="G133" i="2"/>
  <c r="F133" i="2"/>
  <c r="E133" i="2"/>
  <c r="B133" i="55"/>
  <c r="A133" i="55"/>
  <c r="N133" i="55" s="1"/>
  <c r="R132" i="2"/>
  <c r="Q132" i="2"/>
  <c r="P132" i="2"/>
  <c r="O132" i="2"/>
  <c r="M132" i="2"/>
  <c r="L132" i="2"/>
  <c r="K132" i="2"/>
  <c r="J132" i="2"/>
  <c r="I132" i="2"/>
  <c r="H132" i="2"/>
  <c r="G132" i="2"/>
  <c r="F132" i="2"/>
  <c r="E132" i="2"/>
  <c r="B132" i="55"/>
  <c r="A132" i="55"/>
  <c r="N132" i="55" s="1"/>
  <c r="R131" i="2"/>
  <c r="Q131" i="2"/>
  <c r="P131" i="2"/>
  <c r="O131" i="2"/>
  <c r="M131" i="2"/>
  <c r="L131" i="2"/>
  <c r="K131" i="2"/>
  <c r="J131" i="2"/>
  <c r="I131" i="2"/>
  <c r="H131" i="2"/>
  <c r="G131" i="2"/>
  <c r="F131" i="2"/>
  <c r="E131" i="2"/>
  <c r="B131" i="55"/>
  <c r="A131" i="55"/>
  <c r="N131" i="55" s="1"/>
  <c r="R130" i="2"/>
  <c r="Q130" i="2"/>
  <c r="P130" i="2"/>
  <c r="O130" i="2"/>
  <c r="M130" i="2"/>
  <c r="L130" i="2"/>
  <c r="K130" i="2"/>
  <c r="J130" i="2"/>
  <c r="I130" i="2"/>
  <c r="H130" i="2"/>
  <c r="G130" i="2"/>
  <c r="F130" i="2"/>
  <c r="E130" i="2"/>
  <c r="B130" i="55"/>
  <c r="A130" i="55"/>
  <c r="N130" i="55" s="1"/>
  <c r="R129" i="2"/>
  <c r="Q129" i="2"/>
  <c r="P129" i="2"/>
  <c r="O129" i="2"/>
  <c r="M129" i="2"/>
  <c r="L129" i="2"/>
  <c r="K129" i="2"/>
  <c r="J129" i="2"/>
  <c r="I129" i="2"/>
  <c r="H129" i="2"/>
  <c r="G129" i="2"/>
  <c r="F129" i="2"/>
  <c r="E129" i="2"/>
  <c r="B129" i="55"/>
  <c r="A129" i="55"/>
  <c r="N129" i="55" s="1"/>
  <c r="R128" i="2"/>
  <c r="Q128" i="2"/>
  <c r="P128" i="2"/>
  <c r="O128" i="2"/>
  <c r="M128" i="2"/>
  <c r="L128" i="2"/>
  <c r="K128" i="2"/>
  <c r="J128" i="2"/>
  <c r="I128" i="2"/>
  <c r="H128" i="2"/>
  <c r="G128" i="2"/>
  <c r="F128" i="2"/>
  <c r="E128" i="2"/>
  <c r="B128" i="55"/>
  <c r="A128" i="55"/>
  <c r="N128" i="55" s="1"/>
  <c r="R127" i="2"/>
  <c r="Q127" i="2"/>
  <c r="P127" i="2"/>
  <c r="O127" i="2"/>
  <c r="M127" i="2"/>
  <c r="L127" i="2"/>
  <c r="K127" i="2"/>
  <c r="J127" i="2"/>
  <c r="I127" i="2"/>
  <c r="H127" i="2"/>
  <c r="G127" i="2"/>
  <c r="F127" i="2"/>
  <c r="E127" i="2"/>
  <c r="B127" i="55"/>
  <c r="A127" i="55"/>
  <c r="N127" i="55" s="1"/>
  <c r="R126" i="2"/>
  <c r="Q126" i="2"/>
  <c r="P126" i="2"/>
  <c r="O126" i="2"/>
  <c r="M126" i="2"/>
  <c r="L126" i="2"/>
  <c r="K126" i="2"/>
  <c r="J126" i="2"/>
  <c r="I126" i="2"/>
  <c r="H126" i="2"/>
  <c r="G126" i="2"/>
  <c r="F126" i="2"/>
  <c r="E126" i="2"/>
  <c r="B126" i="55"/>
  <c r="A126" i="55"/>
  <c r="N126" i="55" s="1"/>
  <c r="R125" i="2"/>
  <c r="Q125" i="2"/>
  <c r="P125" i="2"/>
  <c r="O125" i="2"/>
  <c r="M125" i="2"/>
  <c r="L125" i="2"/>
  <c r="K125" i="2"/>
  <c r="J125" i="2"/>
  <c r="I125" i="2"/>
  <c r="H125" i="2"/>
  <c r="G125" i="2"/>
  <c r="F125" i="2"/>
  <c r="E125" i="2"/>
  <c r="B125" i="55"/>
  <c r="A125" i="55"/>
  <c r="N125" i="55" s="1"/>
  <c r="R124" i="2"/>
  <c r="Q124" i="2"/>
  <c r="P124" i="2"/>
  <c r="O124" i="2"/>
  <c r="M124" i="2"/>
  <c r="L124" i="2"/>
  <c r="K124" i="2"/>
  <c r="J124" i="2"/>
  <c r="I124" i="2"/>
  <c r="H124" i="2"/>
  <c r="G124" i="2"/>
  <c r="F124" i="2"/>
  <c r="E124" i="2"/>
  <c r="B124" i="55"/>
  <c r="A124" i="55"/>
  <c r="N124" i="55" s="1"/>
  <c r="R123" i="2"/>
  <c r="Q123" i="2"/>
  <c r="P123" i="2"/>
  <c r="O123" i="2"/>
  <c r="M123" i="2"/>
  <c r="L123" i="2"/>
  <c r="K123" i="2"/>
  <c r="J123" i="2"/>
  <c r="I123" i="2"/>
  <c r="H123" i="2"/>
  <c r="G123" i="2"/>
  <c r="F123" i="2"/>
  <c r="E123" i="2"/>
  <c r="B123" i="55"/>
  <c r="A123" i="55"/>
  <c r="N123" i="55" s="1"/>
  <c r="R122" i="2"/>
  <c r="Q122" i="2"/>
  <c r="P122" i="2"/>
  <c r="O122" i="2"/>
  <c r="M122" i="2"/>
  <c r="L122" i="2"/>
  <c r="K122" i="2"/>
  <c r="J122" i="2"/>
  <c r="I122" i="2"/>
  <c r="H122" i="2"/>
  <c r="G122" i="2"/>
  <c r="F122" i="2"/>
  <c r="E122" i="2"/>
  <c r="B122" i="55"/>
  <c r="A122" i="55"/>
  <c r="N122" i="55" s="1"/>
  <c r="R121" i="2"/>
  <c r="Q121" i="2"/>
  <c r="P121" i="2"/>
  <c r="O121" i="2"/>
  <c r="M121" i="2"/>
  <c r="L121" i="2"/>
  <c r="K121" i="2"/>
  <c r="J121" i="2"/>
  <c r="I121" i="2"/>
  <c r="H121" i="2"/>
  <c r="G121" i="2"/>
  <c r="F121" i="2"/>
  <c r="E121" i="2"/>
  <c r="B121" i="55"/>
  <c r="A121" i="55"/>
  <c r="N121" i="55" s="1"/>
  <c r="R120" i="2"/>
  <c r="Q120" i="2"/>
  <c r="P120" i="2"/>
  <c r="O120" i="2"/>
  <c r="M120" i="2"/>
  <c r="L120" i="2"/>
  <c r="K120" i="2"/>
  <c r="J120" i="2"/>
  <c r="I120" i="2"/>
  <c r="H120" i="2"/>
  <c r="G120" i="2"/>
  <c r="F120" i="2"/>
  <c r="E120" i="2"/>
  <c r="B120" i="55"/>
  <c r="A120" i="55"/>
  <c r="N120" i="55" s="1"/>
  <c r="R119" i="2"/>
  <c r="Q119" i="2"/>
  <c r="P119" i="2"/>
  <c r="O119" i="2"/>
  <c r="M119" i="2"/>
  <c r="L119" i="2"/>
  <c r="K119" i="2"/>
  <c r="J119" i="2"/>
  <c r="I119" i="2"/>
  <c r="H119" i="2"/>
  <c r="G119" i="2"/>
  <c r="F119" i="2"/>
  <c r="E119" i="2"/>
  <c r="B119" i="55"/>
  <c r="A119" i="55"/>
  <c r="N119" i="55" s="1"/>
  <c r="R118" i="2"/>
  <c r="Q118" i="2"/>
  <c r="P118" i="2"/>
  <c r="O118" i="2"/>
  <c r="M118" i="2"/>
  <c r="L118" i="2"/>
  <c r="K118" i="2"/>
  <c r="J118" i="2"/>
  <c r="I118" i="2"/>
  <c r="H118" i="2"/>
  <c r="G118" i="2"/>
  <c r="F118" i="2"/>
  <c r="E118" i="2"/>
  <c r="B118" i="55"/>
  <c r="A118" i="55"/>
  <c r="N118" i="55" s="1"/>
  <c r="R117" i="2"/>
  <c r="Q117" i="2"/>
  <c r="P117" i="2"/>
  <c r="O117" i="2"/>
  <c r="M117" i="2"/>
  <c r="L117" i="2"/>
  <c r="K117" i="2"/>
  <c r="J117" i="2"/>
  <c r="I117" i="2"/>
  <c r="H117" i="2"/>
  <c r="G117" i="2"/>
  <c r="F117" i="2"/>
  <c r="E117" i="2"/>
  <c r="B117" i="55"/>
  <c r="A117" i="55"/>
  <c r="N117" i="55" s="1"/>
  <c r="R116" i="2"/>
  <c r="Q116" i="2"/>
  <c r="P116" i="2"/>
  <c r="O116" i="2"/>
  <c r="M116" i="2"/>
  <c r="L116" i="2"/>
  <c r="K116" i="2"/>
  <c r="J116" i="2"/>
  <c r="I116" i="2"/>
  <c r="H116" i="2"/>
  <c r="G116" i="2"/>
  <c r="F116" i="2"/>
  <c r="E116" i="2"/>
  <c r="B116" i="55"/>
  <c r="A116" i="55"/>
  <c r="N116" i="55" s="1"/>
  <c r="R115" i="2"/>
  <c r="Q115" i="2"/>
  <c r="P115" i="2"/>
  <c r="O115" i="2"/>
  <c r="M115" i="2"/>
  <c r="L115" i="2"/>
  <c r="K115" i="2"/>
  <c r="J115" i="2"/>
  <c r="I115" i="2"/>
  <c r="H115" i="2"/>
  <c r="G115" i="2"/>
  <c r="F115" i="2"/>
  <c r="E115" i="2"/>
  <c r="B115" i="55"/>
  <c r="A115" i="55"/>
  <c r="N115" i="55" s="1"/>
  <c r="R114" i="2"/>
  <c r="Q114" i="2"/>
  <c r="P114" i="2"/>
  <c r="O114" i="2"/>
  <c r="M114" i="2"/>
  <c r="L114" i="2"/>
  <c r="K114" i="2"/>
  <c r="J114" i="2"/>
  <c r="I114" i="2"/>
  <c r="H114" i="2"/>
  <c r="G114" i="2"/>
  <c r="F114" i="2"/>
  <c r="E114" i="2"/>
  <c r="B114" i="55"/>
  <c r="A114" i="55"/>
  <c r="N114" i="55" s="1"/>
  <c r="R113" i="2"/>
  <c r="Q113" i="2"/>
  <c r="P113" i="2"/>
  <c r="O113" i="2"/>
  <c r="M113" i="2"/>
  <c r="L113" i="2"/>
  <c r="K113" i="2"/>
  <c r="J113" i="2"/>
  <c r="I113" i="2"/>
  <c r="H113" i="2"/>
  <c r="G113" i="2"/>
  <c r="F113" i="2"/>
  <c r="E113" i="2"/>
  <c r="B113" i="55"/>
  <c r="A113" i="55"/>
  <c r="N113" i="55" s="1"/>
  <c r="R112" i="2"/>
  <c r="Q112" i="2"/>
  <c r="P112" i="2"/>
  <c r="O112" i="2"/>
  <c r="M112" i="2"/>
  <c r="L112" i="2"/>
  <c r="K112" i="2"/>
  <c r="J112" i="2"/>
  <c r="I112" i="2"/>
  <c r="H112" i="2"/>
  <c r="G112" i="2"/>
  <c r="F112" i="2"/>
  <c r="E112" i="2"/>
  <c r="B112" i="55"/>
  <c r="A112" i="55"/>
  <c r="N112" i="55" s="1"/>
  <c r="R111" i="2"/>
  <c r="Q111" i="2"/>
  <c r="P111" i="2"/>
  <c r="O111" i="2"/>
  <c r="M111" i="2"/>
  <c r="L111" i="2"/>
  <c r="K111" i="2"/>
  <c r="J111" i="2"/>
  <c r="I111" i="2"/>
  <c r="H111" i="2"/>
  <c r="G111" i="2"/>
  <c r="F111" i="2"/>
  <c r="E111" i="2"/>
  <c r="B111" i="55"/>
  <c r="A111" i="55"/>
  <c r="N111" i="55" s="1"/>
  <c r="R110" i="2"/>
  <c r="Q110" i="2"/>
  <c r="P110" i="2"/>
  <c r="O110" i="2"/>
  <c r="M110" i="2"/>
  <c r="L110" i="2"/>
  <c r="K110" i="2"/>
  <c r="J110" i="2"/>
  <c r="I110" i="2"/>
  <c r="H110" i="2"/>
  <c r="G110" i="2"/>
  <c r="F110" i="2"/>
  <c r="E110" i="2"/>
  <c r="B110" i="55"/>
  <c r="A110" i="55"/>
  <c r="N110" i="55" s="1"/>
  <c r="R109" i="2"/>
  <c r="Q109" i="2"/>
  <c r="P109" i="2"/>
  <c r="O109" i="2"/>
  <c r="M109" i="2"/>
  <c r="L109" i="2"/>
  <c r="K109" i="2"/>
  <c r="J109" i="2"/>
  <c r="I109" i="2"/>
  <c r="H109" i="2"/>
  <c r="G109" i="2"/>
  <c r="F109" i="2"/>
  <c r="E109" i="2"/>
  <c r="B109" i="55"/>
  <c r="A109" i="55"/>
  <c r="N109" i="55" s="1"/>
  <c r="R108" i="2"/>
  <c r="Q108" i="2"/>
  <c r="P108" i="2"/>
  <c r="O108" i="2"/>
  <c r="M108" i="2"/>
  <c r="L108" i="2"/>
  <c r="K108" i="2"/>
  <c r="J108" i="2"/>
  <c r="I108" i="2"/>
  <c r="H108" i="2"/>
  <c r="G108" i="2"/>
  <c r="F108" i="2"/>
  <c r="E108" i="2"/>
  <c r="B108" i="55"/>
  <c r="A108" i="55"/>
  <c r="N108" i="55" s="1"/>
  <c r="R107" i="2"/>
  <c r="Q107" i="2"/>
  <c r="P107" i="2"/>
  <c r="O107" i="2"/>
  <c r="M107" i="2"/>
  <c r="L107" i="2"/>
  <c r="K107" i="2"/>
  <c r="J107" i="2"/>
  <c r="I107" i="2"/>
  <c r="H107" i="2"/>
  <c r="G107" i="2"/>
  <c r="F107" i="2"/>
  <c r="E107" i="2"/>
  <c r="B107" i="55"/>
  <c r="A107" i="55"/>
  <c r="N107" i="55" s="1"/>
  <c r="R106" i="2"/>
  <c r="Q106" i="2"/>
  <c r="P106" i="2"/>
  <c r="O106" i="2"/>
  <c r="M106" i="2"/>
  <c r="L106" i="2"/>
  <c r="K106" i="2"/>
  <c r="J106" i="2"/>
  <c r="I106" i="2"/>
  <c r="H106" i="2"/>
  <c r="G106" i="2"/>
  <c r="F106" i="2"/>
  <c r="E106" i="2"/>
  <c r="B106" i="55"/>
  <c r="A106" i="55"/>
  <c r="N106" i="55" s="1"/>
  <c r="R105" i="2"/>
  <c r="Q105" i="2"/>
  <c r="P105" i="2"/>
  <c r="O105" i="2"/>
  <c r="M105" i="2"/>
  <c r="L105" i="2"/>
  <c r="K105" i="2"/>
  <c r="J105" i="2"/>
  <c r="I105" i="2"/>
  <c r="H105" i="2"/>
  <c r="G105" i="2"/>
  <c r="F105" i="2"/>
  <c r="E105" i="2"/>
  <c r="B105" i="55"/>
  <c r="A105" i="55"/>
  <c r="N105" i="55" s="1"/>
  <c r="R104" i="2"/>
  <c r="Q104" i="2"/>
  <c r="P104" i="2"/>
  <c r="O104" i="2"/>
  <c r="M104" i="2"/>
  <c r="L104" i="2"/>
  <c r="K104" i="2"/>
  <c r="J104" i="2"/>
  <c r="I104" i="2"/>
  <c r="H104" i="2"/>
  <c r="G104" i="2"/>
  <c r="F104" i="2"/>
  <c r="E104" i="2"/>
  <c r="B104" i="55"/>
  <c r="A104" i="55"/>
  <c r="N104" i="55" s="1"/>
  <c r="R103" i="2"/>
  <c r="Q103" i="2"/>
  <c r="P103" i="2"/>
  <c r="O103" i="2"/>
  <c r="M103" i="2"/>
  <c r="L103" i="2"/>
  <c r="K103" i="2"/>
  <c r="J103" i="2"/>
  <c r="I103" i="2"/>
  <c r="H103" i="2"/>
  <c r="G103" i="2"/>
  <c r="F103" i="2"/>
  <c r="E103" i="2"/>
  <c r="B103" i="55"/>
  <c r="A103" i="55"/>
  <c r="N103" i="55" s="1"/>
  <c r="R102" i="2"/>
  <c r="Q102" i="2"/>
  <c r="P102" i="2"/>
  <c r="O102" i="2"/>
  <c r="M102" i="2"/>
  <c r="L102" i="2"/>
  <c r="K102" i="2"/>
  <c r="J102" i="2"/>
  <c r="I102" i="2"/>
  <c r="H102" i="2"/>
  <c r="G102" i="2"/>
  <c r="F102" i="2"/>
  <c r="E102" i="2"/>
  <c r="B102" i="55"/>
  <c r="A102" i="55"/>
  <c r="N102" i="55" s="1"/>
  <c r="R101" i="2"/>
  <c r="Q101" i="2"/>
  <c r="P101" i="2"/>
  <c r="O101" i="2"/>
  <c r="M101" i="2"/>
  <c r="L101" i="2"/>
  <c r="K101" i="2"/>
  <c r="J101" i="2"/>
  <c r="I101" i="2"/>
  <c r="H101" i="2"/>
  <c r="G101" i="2"/>
  <c r="F101" i="2"/>
  <c r="E101" i="2"/>
  <c r="B101" i="55"/>
  <c r="A101" i="55"/>
  <c r="N101" i="55" s="1"/>
  <c r="R100" i="2"/>
  <c r="Q100" i="2"/>
  <c r="P100" i="2"/>
  <c r="O100" i="2"/>
  <c r="M100" i="2"/>
  <c r="L100" i="2"/>
  <c r="K100" i="2"/>
  <c r="J100" i="2"/>
  <c r="I100" i="2"/>
  <c r="H100" i="2"/>
  <c r="G100" i="2"/>
  <c r="F100" i="2"/>
  <c r="E100" i="2"/>
  <c r="B100" i="55"/>
  <c r="A100" i="55"/>
  <c r="N100" i="55" s="1"/>
  <c r="R99" i="2"/>
  <c r="Q99" i="2"/>
  <c r="P99" i="2"/>
  <c r="O99" i="2"/>
  <c r="M99" i="2"/>
  <c r="L99" i="2"/>
  <c r="K99" i="2"/>
  <c r="J99" i="2"/>
  <c r="I99" i="2"/>
  <c r="H99" i="2"/>
  <c r="G99" i="2"/>
  <c r="F99" i="2"/>
  <c r="E99" i="2"/>
  <c r="B99" i="55"/>
  <c r="A99" i="55"/>
  <c r="N99" i="55" s="1"/>
  <c r="R98" i="2"/>
  <c r="Q98" i="2"/>
  <c r="P98" i="2"/>
  <c r="O98" i="2"/>
  <c r="M98" i="2"/>
  <c r="L98" i="2"/>
  <c r="K98" i="2"/>
  <c r="J98" i="2"/>
  <c r="I98" i="2"/>
  <c r="H98" i="2"/>
  <c r="G98" i="2"/>
  <c r="F98" i="2"/>
  <c r="E98" i="2"/>
  <c r="B98" i="55"/>
  <c r="A98" i="55"/>
  <c r="N98" i="55" s="1"/>
  <c r="R97" i="2"/>
  <c r="Q97" i="2"/>
  <c r="P97" i="2"/>
  <c r="O97" i="2"/>
  <c r="M97" i="2"/>
  <c r="L97" i="2"/>
  <c r="K97" i="2"/>
  <c r="J97" i="2"/>
  <c r="I97" i="2"/>
  <c r="H97" i="2"/>
  <c r="G97" i="2"/>
  <c r="F97" i="2"/>
  <c r="E97" i="2"/>
  <c r="B97" i="55"/>
  <c r="A97" i="55"/>
  <c r="N97" i="55" s="1"/>
  <c r="R96" i="2"/>
  <c r="Q96" i="2"/>
  <c r="P96" i="2"/>
  <c r="O96" i="2"/>
  <c r="M96" i="2"/>
  <c r="L96" i="2"/>
  <c r="K96" i="2"/>
  <c r="J96" i="2"/>
  <c r="I96" i="2"/>
  <c r="H96" i="2"/>
  <c r="G96" i="2"/>
  <c r="F96" i="2"/>
  <c r="E96" i="2"/>
  <c r="B96" i="55"/>
  <c r="A96" i="55"/>
  <c r="N96" i="55" s="1"/>
  <c r="R95" i="2"/>
  <c r="Q95" i="2"/>
  <c r="P95" i="2"/>
  <c r="O95" i="2"/>
  <c r="M95" i="2"/>
  <c r="L95" i="2"/>
  <c r="K95" i="2"/>
  <c r="J95" i="2"/>
  <c r="I95" i="2"/>
  <c r="H95" i="2"/>
  <c r="G95" i="2"/>
  <c r="F95" i="2"/>
  <c r="E95" i="2"/>
  <c r="B95" i="55"/>
  <c r="A95" i="55"/>
  <c r="N95" i="55" s="1"/>
  <c r="R94" i="2"/>
  <c r="Q94" i="2"/>
  <c r="P94" i="2"/>
  <c r="O94" i="2"/>
  <c r="M94" i="2"/>
  <c r="L94" i="2"/>
  <c r="K94" i="2"/>
  <c r="J94" i="2"/>
  <c r="I94" i="2"/>
  <c r="H94" i="2"/>
  <c r="G94" i="2"/>
  <c r="F94" i="2"/>
  <c r="E94" i="2"/>
  <c r="B94" i="55"/>
  <c r="A94" i="55"/>
  <c r="N94" i="55" s="1"/>
  <c r="R93" i="2"/>
  <c r="Q93" i="2"/>
  <c r="P93" i="2"/>
  <c r="O93" i="2"/>
  <c r="M93" i="2"/>
  <c r="L93" i="2"/>
  <c r="K93" i="2"/>
  <c r="J93" i="2"/>
  <c r="I93" i="2"/>
  <c r="H93" i="2"/>
  <c r="G93" i="2"/>
  <c r="F93" i="2"/>
  <c r="E93" i="2"/>
  <c r="B93" i="55"/>
  <c r="A93" i="55"/>
  <c r="N93" i="55" s="1"/>
  <c r="R92" i="2"/>
  <c r="Q92" i="2"/>
  <c r="P92" i="2"/>
  <c r="O92" i="2"/>
  <c r="M92" i="2"/>
  <c r="L92" i="2"/>
  <c r="K92" i="2"/>
  <c r="J92" i="2"/>
  <c r="I92" i="2"/>
  <c r="H92" i="2"/>
  <c r="G92" i="2"/>
  <c r="F92" i="2"/>
  <c r="E92" i="2"/>
  <c r="B92" i="55"/>
  <c r="A92" i="55"/>
  <c r="N92" i="55" s="1"/>
  <c r="R91" i="2"/>
  <c r="Q91" i="2"/>
  <c r="P91" i="2"/>
  <c r="O91" i="2"/>
  <c r="M91" i="2"/>
  <c r="L91" i="2"/>
  <c r="K91" i="2"/>
  <c r="J91" i="2"/>
  <c r="I91" i="2"/>
  <c r="H91" i="2"/>
  <c r="G91" i="2"/>
  <c r="F91" i="2"/>
  <c r="E91" i="2"/>
  <c r="B91" i="55"/>
  <c r="A91" i="55"/>
  <c r="N91" i="55" s="1"/>
  <c r="R90" i="2"/>
  <c r="Q90" i="2"/>
  <c r="P90" i="2"/>
  <c r="O90" i="2"/>
  <c r="M90" i="2"/>
  <c r="L90" i="2"/>
  <c r="K90" i="2"/>
  <c r="J90" i="2"/>
  <c r="I90" i="2"/>
  <c r="H90" i="2"/>
  <c r="G90" i="2"/>
  <c r="F90" i="2"/>
  <c r="E90" i="2"/>
  <c r="B90" i="55"/>
  <c r="A90" i="55"/>
  <c r="N90" i="55" s="1"/>
  <c r="R89" i="2"/>
  <c r="Q89" i="2"/>
  <c r="P89" i="2"/>
  <c r="O89" i="2"/>
  <c r="M89" i="2"/>
  <c r="L89" i="2"/>
  <c r="K89" i="2"/>
  <c r="J89" i="2"/>
  <c r="I89" i="2"/>
  <c r="H89" i="2"/>
  <c r="G89" i="2"/>
  <c r="F89" i="2"/>
  <c r="E89" i="2"/>
  <c r="B89" i="55"/>
  <c r="A89" i="55"/>
  <c r="N89" i="55" s="1"/>
  <c r="R88" i="2"/>
  <c r="Q88" i="2"/>
  <c r="P88" i="2"/>
  <c r="O88" i="2"/>
  <c r="M88" i="2"/>
  <c r="L88" i="2"/>
  <c r="K88" i="2"/>
  <c r="J88" i="2"/>
  <c r="I88" i="2"/>
  <c r="H88" i="2"/>
  <c r="G88" i="2"/>
  <c r="F88" i="2"/>
  <c r="E88" i="2"/>
  <c r="B88" i="55"/>
  <c r="A88" i="55"/>
  <c r="N88" i="55" s="1"/>
  <c r="R87" i="2"/>
  <c r="Q87" i="2"/>
  <c r="P87" i="2"/>
  <c r="O87" i="2"/>
  <c r="M87" i="2"/>
  <c r="L87" i="2"/>
  <c r="K87" i="2"/>
  <c r="J87" i="2"/>
  <c r="I87" i="2"/>
  <c r="H87" i="2"/>
  <c r="G87" i="2"/>
  <c r="F87" i="2"/>
  <c r="E87" i="2"/>
  <c r="B87" i="55"/>
  <c r="A87" i="55"/>
  <c r="N87" i="55" s="1"/>
  <c r="R86" i="2"/>
  <c r="Q86" i="2"/>
  <c r="P86" i="2"/>
  <c r="O86" i="2"/>
  <c r="M86" i="2"/>
  <c r="L86" i="2"/>
  <c r="K86" i="2"/>
  <c r="J86" i="2"/>
  <c r="I86" i="2"/>
  <c r="H86" i="2"/>
  <c r="G86" i="2"/>
  <c r="F86" i="2"/>
  <c r="E86" i="2"/>
  <c r="B86" i="55"/>
  <c r="A86" i="55"/>
  <c r="N86" i="55" s="1"/>
  <c r="R85" i="2"/>
  <c r="Q85" i="2"/>
  <c r="P85" i="2"/>
  <c r="O85" i="2"/>
  <c r="M85" i="2"/>
  <c r="L85" i="2"/>
  <c r="K85" i="2"/>
  <c r="J85" i="2"/>
  <c r="I85" i="2"/>
  <c r="H85" i="2"/>
  <c r="G85" i="2"/>
  <c r="F85" i="2"/>
  <c r="E85" i="2"/>
  <c r="B85" i="55"/>
  <c r="A85" i="55"/>
  <c r="N85" i="55" s="1"/>
  <c r="R84" i="2"/>
  <c r="Q84" i="2"/>
  <c r="P84" i="2"/>
  <c r="O84" i="2"/>
  <c r="M84" i="2"/>
  <c r="L84" i="2"/>
  <c r="K84" i="2"/>
  <c r="J84" i="2"/>
  <c r="I84" i="2"/>
  <c r="H84" i="2"/>
  <c r="G84" i="2"/>
  <c r="F84" i="2"/>
  <c r="E84" i="2"/>
  <c r="B84" i="55"/>
  <c r="A84" i="55"/>
  <c r="N84" i="55" s="1"/>
  <c r="R83" i="2"/>
  <c r="Q83" i="2"/>
  <c r="P83" i="2"/>
  <c r="O83" i="2"/>
  <c r="M83" i="2"/>
  <c r="L83" i="2"/>
  <c r="K83" i="2"/>
  <c r="J83" i="2"/>
  <c r="I83" i="2"/>
  <c r="H83" i="2"/>
  <c r="G83" i="2"/>
  <c r="F83" i="2"/>
  <c r="E83" i="2"/>
  <c r="B83" i="55"/>
  <c r="A83" i="55"/>
  <c r="N83" i="55" s="1"/>
  <c r="R82" i="2"/>
  <c r="Q82" i="2"/>
  <c r="P82" i="2"/>
  <c r="O82" i="2"/>
  <c r="M82" i="2"/>
  <c r="L82" i="2"/>
  <c r="K82" i="2"/>
  <c r="J82" i="2"/>
  <c r="I82" i="2"/>
  <c r="H82" i="2"/>
  <c r="G82" i="2"/>
  <c r="F82" i="2"/>
  <c r="E82" i="2"/>
  <c r="B82" i="55"/>
  <c r="A82" i="55"/>
  <c r="N82" i="55" s="1"/>
  <c r="R81" i="2"/>
  <c r="Q81" i="2"/>
  <c r="P81" i="2"/>
  <c r="O81" i="2"/>
  <c r="M81" i="2"/>
  <c r="L81" i="2"/>
  <c r="K81" i="2"/>
  <c r="J81" i="2"/>
  <c r="I81" i="2"/>
  <c r="H81" i="2"/>
  <c r="G81" i="2"/>
  <c r="F81" i="2"/>
  <c r="E81" i="2"/>
  <c r="B81" i="55"/>
  <c r="A81" i="55"/>
  <c r="N81" i="55" s="1"/>
  <c r="R80" i="2"/>
  <c r="Q80" i="2"/>
  <c r="P80" i="2"/>
  <c r="O80" i="2"/>
  <c r="M80" i="2"/>
  <c r="L80" i="2"/>
  <c r="K80" i="2"/>
  <c r="J80" i="2"/>
  <c r="I80" i="2"/>
  <c r="H80" i="2"/>
  <c r="G80" i="2"/>
  <c r="F80" i="2"/>
  <c r="E80" i="2"/>
  <c r="B80" i="55"/>
  <c r="A80" i="55"/>
  <c r="N80" i="55" s="1"/>
  <c r="R79" i="2"/>
  <c r="Q79" i="2"/>
  <c r="P79" i="2"/>
  <c r="O79" i="2"/>
  <c r="M79" i="2"/>
  <c r="L79" i="2"/>
  <c r="K79" i="2"/>
  <c r="J79" i="2"/>
  <c r="I79" i="2"/>
  <c r="H79" i="2"/>
  <c r="G79" i="2"/>
  <c r="F79" i="2"/>
  <c r="E79" i="2"/>
  <c r="B79" i="55"/>
  <c r="A79" i="55"/>
  <c r="N79" i="55" s="1"/>
  <c r="R78" i="2"/>
  <c r="Q78" i="2"/>
  <c r="P78" i="2"/>
  <c r="O78" i="2"/>
  <c r="M78" i="2"/>
  <c r="L78" i="2"/>
  <c r="K78" i="2"/>
  <c r="J78" i="2"/>
  <c r="I78" i="2"/>
  <c r="H78" i="2"/>
  <c r="G78" i="2"/>
  <c r="F78" i="2"/>
  <c r="E78" i="2"/>
  <c r="B78" i="55"/>
  <c r="A78" i="55"/>
  <c r="N78" i="55" s="1"/>
  <c r="R77" i="2"/>
  <c r="Q77" i="2"/>
  <c r="P77" i="2"/>
  <c r="O77" i="2"/>
  <c r="M77" i="2"/>
  <c r="L77" i="2"/>
  <c r="K77" i="2"/>
  <c r="J77" i="2"/>
  <c r="I77" i="2"/>
  <c r="H77" i="2"/>
  <c r="G77" i="2"/>
  <c r="F77" i="2"/>
  <c r="E77" i="2"/>
  <c r="B77" i="55"/>
  <c r="A77" i="55"/>
  <c r="N77" i="55" s="1"/>
  <c r="R76" i="2"/>
  <c r="Q76" i="2"/>
  <c r="P76" i="2"/>
  <c r="O76" i="2"/>
  <c r="M76" i="2"/>
  <c r="L76" i="2"/>
  <c r="K76" i="2"/>
  <c r="J76" i="2"/>
  <c r="I76" i="2"/>
  <c r="H76" i="2"/>
  <c r="G76" i="2"/>
  <c r="F76" i="2"/>
  <c r="E76" i="2"/>
  <c r="B76" i="55"/>
  <c r="A76" i="55"/>
  <c r="N76" i="55" s="1"/>
  <c r="R75" i="2"/>
  <c r="Q75" i="2"/>
  <c r="P75" i="2"/>
  <c r="O75" i="2"/>
  <c r="M75" i="2"/>
  <c r="L75" i="2"/>
  <c r="K75" i="2"/>
  <c r="J75" i="2"/>
  <c r="I75" i="2"/>
  <c r="H75" i="2"/>
  <c r="G75" i="2"/>
  <c r="F75" i="2"/>
  <c r="E75" i="2"/>
  <c r="B75" i="55"/>
  <c r="A75" i="55"/>
  <c r="N75" i="55" s="1"/>
  <c r="R74" i="2"/>
  <c r="Q74" i="2"/>
  <c r="P74" i="2"/>
  <c r="O74" i="2"/>
  <c r="M74" i="2"/>
  <c r="L74" i="2"/>
  <c r="K74" i="2"/>
  <c r="J74" i="2"/>
  <c r="I74" i="2"/>
  <c r="H74" i="2"/>
  <c r="G74" i="2"/>
  <c r="F74" i="2"/>
  <c r="E74" i="2"/>
  <c r="B74" i="55"/>
  <c r="A74" i="55"/>
  <c r="N74" i="55" s="1"/>
  <c r="R73" i="2"/>
  <c r="Q73" i="2"/>
  <c r="P73" i="2"/>
  <c r="O73" i="2"/>
  <c r="M73" i="2"/>
  <c r="L73" i="2"/>
  <c r="K73" i="2"/>
  <c r="J73" i="2"/>
  <c r="I73" i="2"/>
  <c r="H73" i="2"/>
  <c r="G73" i="2"/>
  <c r="F73" i="2"/>
  <c r="E73" i="2"/>
  <c r="B73" i="55"/>
  <c r="A73" i="55"/>
  <c r="N73" i="55" s="1"/>
  <c r="R72" i="2"/>
  <c r="Q72" i="2"/>
  <c r="P72" i="2"/>
  <c r="O72" i="2"/>
  <c r="M72" i="2"/>
  <c r="L72" i="2"/>
  <c r="K72" i="2"/>
  <c r="J72" i="2"/>
  <c r="I72" i="2"/>
  <c r="H72" i="2"/>
  <c r="G72" i="2"/>
  <c r="F72" i="2"/>
  <c r="E72" i="2"/>
  <c r="B72" i="55"/>
  <c r="A72" i="55"/>
  <c r="N72" i="55" s="1"/>
  <c r="R71" i="2"/>
  <c r="Q71" i="2"/>
  <c r="P71" i="2"/>
  <c r="O71" i="2"/>
  <c r="M71" i="2"/>
  <c r="L71" i="2"/>
  <c r="K71" i="2"/>
  <c r="J71" i="2"/>
  <c r="I71" i="2"/>
  <c r="H71" i="2"/>
  <c r="G71" i="2"/>
  <c r="F71" i="2"/>
  <c r="E71" i="2"/>
  <c r="B71" i="55"/>
  <c r="A71" i="55"/>
  <c r="N71" i="55" s="1"/>
  <c r="R70" i="2"/>
  <c r="Q70" i="2"/>
  <c r="P70" i="2"/>
  <c r="O70" i="2"/>
  <c r="M70" i="2"/>
  <c r="L70" i="2"/>
  <c r="K70" i="2"/>
  <c r="J70" i="2"/>
  <c r="I70" i="2"/>
  <c r="H70" i="2"/>
  <c r="G70" i="2"/>
  <c r="F70" i="2"/>
  <c r="E70" i="2"/>
  <c r="B70" i="55"/>
  <c r="A70" i="55"/>
  <c r="N70" i="55" s="1"/>
  <c r="R69" i="2"/>
  <c r="Q69" i="2"/>
  <c r="P69" i="2"/>
  <c r="O69" i="2"/>
  <c r="M69" i="2"/>
  <c r="L69" i="2"/>
  <c r="K69" i="2"/>
  <c r="J69" i="2"/>
  <c r="I69" i="2"/>
  <c r="H69" i="2"/>
  <c r="G69" i="2"/>
  <c r="F69" i="2"/>
  <c r="E69" i="2"/>
  <c r="B69" i="55"/>
  <c r="A69" i="55"/>
  <c r="N69" i="55" s="1"/>
  <c r="R68" i="2"/>
  <c r="Q68" i="2"/>
  <c r="P68" i="2"/>
  <c r="O68" i="2"/>
  <c r="M68" i="2"/>
  <c r="L68" i="2"/>
  <c r="K68" i="2"/>
  <c r="J68" i="2"/>
  <c r="I68" i="2"/>
  <c r="H68" i="2"/>
  <c r="G68" i="2"/>
  <c r="F68" i="2"/>
  <c r="E68" i="2"/>
  <c r="B68" i="55"/>
  <c r="A68" i="55"/>
  <c r="N68" i="55" s="1"/>
  <c r="R67" i="2"/>
  <c r="Q67" i="2"/>
  <c r="P67" i="2"/>
  <c r="O67" i="2"/>
  <c r="M67" i="2"/>
  <c r="L67" i="2"/>
  <c r="K67" i="2"/>
  <c r="J67" i="2"/>
  <c r="I67" i="2"/>
  <c r="H67" i="2"/>
  <c r="G67" i="2"/>
  <c r="F67" i="2"/>
  <c r="E67" i="2"/>
  <c r="B67" i="55"/>
  <c r="A67" i="55"/>
  <c r="N67" i="55" s="1"/>
  <c r="R66" i="2"/>
  <c r="Q66" i="2"/>
  <c r="P66" i="2"/>
  <c r="O66" i="2"/>
  <c r="M66" i="2"/>
  <c r="L66" i="2"/>
  <c r="K66" i="2"/>
  <c r="J66" i="2"/>
  <c r="I66" i="2"/>
  <c r="H66" i="2"/>
  <c r="G66" i="2"/>
  <c r="F66" i="2"/>
  <c r="E66" i="2"/>
  <c r="B66" i="55"/>
  <c r="A66" i="55"/>
  <c r="N66" i="55" s="1"/>
  <c r="R65" i="2"/>
  <c r="Q65" i="2"/>
  <c r="P65" i="2"/>
  <c r="O65" i="2"/>
  <c r="M65" i="2"/>
  <c r="L65" i="2"/>
  <c r="K65" i="2"/>
  <c r="J65" i="2"/>
  <c r="I65" i="2"/>
  <c r="H65" i="2"/>
  <c r="G65" i="2"/>
  <c r="F65" i="2"/>
  <c r="E65" i="2"/>
  <c r="B65" i="55"/>
  <c r="A65" i="55"/>
  <c r="N65" i="55" s="1"/>
  <c r="R64" i="2"/>
  <c r="Q64" i="2"/>
  <c r="P64" i="2"/>
  <c r="O64" i="2"/>
  <c r="M64" i="2"/>
  <c r="L64" i="2"/>
  <c r="K64" i="2"/>
  <c r="J64" i="2"/>
  <c r="I64" i="2"/>
  <c r="H64" i="2"/>
  <c r="G64" i="2"/>
  <c r="F64" i="2"/>
  <c r="E64" i="2"/>
  <c r="B64" i="55"/>
  <c r="A64" i="55"/>
  <c r="N64" i="55" s="1"/>
  <c r="R63" i="2"/>
  <c r="Q63" i="2"/>
  <c r="P63" i="2"/>
  <c r="O63" i="2"/>
  <c r="M63" i="2"/>
  <c r="L63" i="2"/>
  <c r="K63" i="2"/>
  <c r="J63" i="2"/>
  <c r="I63" i="2"/>
  <c r="H63" i="2"/>
  <c r="G63" i="2"/>
  <c r="F63" i="2"/>
  <c r="E63" i="2"/>
  <c r="B63" i="55"/>
  <c r="A63" i="55"/>
  <c r="N63" i="55" s="1"/>
  <c r="R62" i="2"/>
  <c r="Q62" i="2"/>
  <c r="P62" i="2"/>
  <c r="O62" i="2"/>
  <c r="M62" i="2"/>
  <c r="L62" i="2"/>
  <c r="K62" i="2"/>
  <c r="J62" i="2"/>
  <c r="I62" i="2"/>
  <c r="H62" i="2"/>
  <c r="G62" i="2"/>
  <c r="F62" i="2"/>
  <c r="E62" i="2"/>
  <c r="B62" i="55"/>
  <c r="A62" i="55"/>
  <c r="N62" i="55" s="1"/>
  <c r="R61" i="2"/>
  <c r="Q61" i="2"/>
  <c r="P61" i="2"/>
  <c r="O61" i="2"/>
  <c r="M61" i="2"/>
  <c r="L61" i="2"/>
  <c r="K61" i="2"/>
  <c r="J61" i="2"/>
  <c r="I61" i="2"/>
  <c r="H61" i="2"/>
  <c r="G61" i="2"/>
  <c r="F61" i="2"/>
  <c r="E61" i="2"/>
  <c r="B61" i="55"/>
  <c r="A61" i="55"/>
  <c r="N61" i="55" s="1"/>
  <c r="R60" i="2"/>
  <c r="Q60" i="2"/>
  <c r="P60" i="2"/>
  <c r="O60" i="2"/>
  <c r="M60" i="2"/>
  <c r="L60" i="2"/>
  <c r="K60" i="2"/>
  <c r="J60" i="2"/>
  <c r="I60" i="2"/>
  <c r="H60" i="2"/>
  <c r="G60" i="2"/>
  <c r="F60" i="2"/>
  <c r="E60" i="2"/>
  <c r="B60" i="55"/>
  <c r="A60" i="55"/>
  <c r="N60" i="55" s="1"/>
  <c r="R59" i="2"/>
  <c r="Q59" i="2"/>
  <c r="P59" i="2"/>
  <c r="O59" i="2"/>
  <c r="M59" i="2"/>
  <c r="L59" i="2"/>
  <c r="K59" i="2"/>
  <c r="J59" i="2"/>
  <c r="I59" i="2"/>
  <c r="H59" i="2"/>
  <c r="G59" i="2"/>
  <c r="F59" i="2"/>
  <c r="E59" i="2"/>
  <c r="B59" i="55"/>
  <c r="A59" i="55"/>
  <c r="N59" i="55" s="1"/>
  <c r="R58" i="2"/>
  <c r="Q58" i="2"/>
  <c r="P58" i="2"/>
  <c r="O58" i="2"/>
  <c r="M58" i="2"/>
  <c r="L58" i="2"/>
  <c r="K58" i="2"/>
  <c r="J58" i="2"/>
  <c r="I58" i="2"/>
  <c r="H58" i="2"/>
  <c r="G58" i="2"/>
  <c r="F58" i="2"/>
  <c r="E58" i="2"/>
  <c r="B58" i="55"/>
  <c r="A58" i="55"/>
  <c r="N58" i="55" s="1"/>
  <c r="R57" i="2"/>
  <c r="Q57" i="2"/>
  <c r="P57" i="2"/>
  <c r="O57" i="2"/>
  <c r="M57" i="2"/>
  <c r="L57" i="2"/>
  <c r="K57" i="2"/>
  <c r="J57" i="2"/>
  <c r="I57" i="2"/>
  <c r="H57" i="2"/>
  <c r="G57" i="2"/>
  <c r="F57" i="2"/>
  <c r="E57" i="2"/>
  <c r="B57" i="55"/>
  <c r="A57" i="55"/>
  <c r="N57" i="55" s="1"/>
  <c r="R56" i="2"/>
  <c r="Q56" i="2"/>
  <c r="P56" i="2"/>
  <c r="O56" i="2"/>
  <c r="M56" i="2"/>
  <c r="L56" i="2"/>
  <c r="K56" i="2"/>
  <c r="J56" i="2"/>
  <c r="I56" i="2"/>
  <c r="H56" i="2"/>
  <c r="G56" i="2"/>
  <c r="F56" i="2"/>
  <c r="E56" i="2"/>
  <c r="B56" i="55"/>
  <c r="A56" i="55"/>
  <c r="N56" i="55" s="1"/>
  <c r="R55" i="2"/>
  <c r="Q55" i="2"/>
  <c r="P55" i="2"/>
  <c r="O55" i="2"/>
  <c r="M55" i="2"/>
  <c r="L55" i="2"/>
  <c r="K55" i="2"/>
  <c r="J55" i="2"/>
  <c r="I55" i="2"/>
  <c r="H55" i="2"/>
  <c r="G55" i="2"/>
  <c r="F55" i="2"/>
  <c r="E55" i="2"/>
  <c r="B55" i="55"/>
  <c r="A55" i="55"/>
  <c r="N55" i="55" s="1"/>
  <c r="R54" i="2"/>
  <c r="Q54" i="2"/>
  <c r="P54" i="2"/>
  <c r="O54" i="2"/>
  <c r="M54" i="2"/>
  <c r="L54" i="2"/>
  <c r="K54" i="2"/>
  <c r="J54" i="2"/>
  <c r="I54" i="2"/>
  <c r="H54" i="2"/>
  <c r="G54" i="2"/>
  <c r="F54" i="2"/>
  <c r="E54" i="2"/>
  <c r="B54" i="55"/>
  <c r="A54" i="55"/>
  <c r="N54" i="55" s="1"/>
  <c r="R53" i="2"/>
  <c r="Q53" i="2"/>
  <c r="P53" i="2"/>
  <c r="O53" i="2"/>
  <c r="M53" i="2"/>
  <c r="L53" i="2"/>
  <c r="K53" i="2"/>
  <c r="J53" i="2"/>
  <c r="I53" i="2"/>
  <c r="H53" i="2"/>
  <c r="G53" i="2"/>
  <c r="F53" i="2"/>
  <c r="E53" i="2"/>
  <c r="B53" i="55"/>
  <c r="A53" i="55"/>
  <c r="N53" i="55" s="1"/>
  <c r="R52" i="2"/>
  <c r="Q52" i="2"/>
  <c r="P52" i="2"/>
  <c r="O52" i="2"/>
  <c r="M52" i="2"/>
  <c r="L52" i="2"/>
  <c r="K52" i="2"/>
  <c r="J52" i="2"/>
  <c r="I52" i="2"/>
  <c r="H52" i="2"/>
  <c r="G52" i="2"/>
  <c r="F52" i="2"/>
  <c r="E52" i="2"/>
  <c r="B52" i="55"/>
  <c r="A52" i="55"/>
  <c r="N52" i="55" s="1"/>
  <c r="R51" i="2"/>
  <c r="Q51" i="2"/>
  <c r="P51" i="2"/>
  <c r="O51" i="2"/>
  <c r="M51" i="2"/>
  <c r="L51" i="2"/>
  <c r="K51" i="2"/>
  <c r="J51" i="2"/>
  <c r="I51" i="2"/>
  <c r="H51" i="2"/>
  <c r="G51" i="2"/>
  <c r="F51" i="2"/>
  <c r="E51" i="2"/>
  <c r="B51" i="55"/>
  <c r="A51" i="55"/>
  <c r="N51" i="55" s="1"/>
  <c r="R50" i="2"/>
  <c r="Q50" i="2"/>
  <c r="P50" i="2"/>
  <c r="O50" i="2"/>
  <c r="M50" i="2"/>
  <c r="L50" i="2"/>
  <c r="K50" i="2"/>
  <c r="J50" i="2"/>
  <c r="I50" i="2"/>
  <c r="H50" i="2"/>
  <c r="G50" i="2"/>
  <c r="F50" i="2"/>
  <c r="E50" i="2"/>
  <c r="B50" i="55"/>
  <c r="A50" i="55"/>
  <c r="N50" i="55" s="1"/>
  <c r="R49" i="2"/>
  <c r="Q49" i="2"/>
  <c r="P49" i="2"/>
  <c r="O49" i="2"/>
  <c r="M49" i="2"/>
  <c r="L49" i="2"/>
  <c r="K49" i="2"/>
  <c r="J49" i="2"/>
  <c r="I49" i="2"/>
  <c r="H49" i="2"/>
  <c r="G49" i="2"/>
  <c r="F49" i="2"/>
  <c r="E49" i="2"/>
  <c r="B49" i="55"/>
  <c r="A49" i="55"/>
  <c r="N49" i="55" s="1"/>
  <c r="R48" i="2"/>
  <c r="Q48" i="2"/>
  <c r="P48" i="2"/>
  <c r="O48" i="2"/>
  <c r="M48" i="2"/>
  <c r="L48" i="2"/>
  <c r="K48" i="2"/>
  <c r="J48" i="2"/>
  <c r="I48" i="2"/>
  <c r="H48" i="2"/>
  <c r="G48" i="2"/>
  <c r="F48" i="2"/>
  <c r="E48" i="2"/>
  <c r="B48" i="55"/>
  <c r="A48" i="55"/>
  <c r="N48" i="55" s="1"/>
  <c r="R47" i="2"/>
  <c r="Q47" i="2"/>
  <c r="P47" i="2"/>
  <c r="O47" i="2"/>
  <c r="M47" i="2"/>
  <c r="L47" i="2"/>
  <c r="K47" i="2"/>
  <c r="J47" i="2"/>
  <c r="I47" i="2"/>
  <c r="H47" i="2"/>
  <c r="G47" i="2"/>
  <c r="F47" i="2"/>
  <c r="E47" i="2"/>
  <c r="B47" i="55"/>
  <c r="A47" i="55"/>
  <c r="N47" i="55" s="1"/>
  <c r="R46" i="2"/>
  <c r="Q46" i="2"/>
  <c r="P46" i="2"/>
  <c r="O46" i="2"/>
  <c r="M46" i="2"/>
  <c r="L46" i="2"/>
  <c r="K46" i="2"/>
  <c r="J46" i="2"/>
  <c r="I46" i="2"/>
  <c r="H46" i="2"/>
  <c r="G46" i="2"/>
  <c r="F46" i="2"/>
  <c r="E46" i="2"/>
  <c r="B46" i="55"/>
  <c r="A46" i="55"/>
  <c r="N46" i="55" s="1"/>
  <c r="R45" i="2"/>
  <c r="Q45" i="2"/>
  <c r="P45" i="2"/>
  <c r="O45" i="2"/>
  <c r="M45" i="2"/>
  <c r="L45" i="2"/>
  <c r="K45" i="2"/>
  <c r="J45" i="2"/>
  <c r="I45" i="2"/>
  <c r="H45" i="2"/>
  <c r="G45" i="2"/>
  <c r="F45" i="2"/>
  <c r="E45" i="2"/>
  <c r="B45" i="55"/>
  <c r="A45" i="55"/>
  <c r="N45" i="55" s="1"/>
  <c r="R44" i="2"/>
  <c r="Q44" i="2"/>
  <c r="P44" i="2"/>
  <c r="O44" i="2"/>
  <c r="M44" i="2"/>
  <c r="L44" i="2"/>
  <c r="K44" i="2"/>
  <c r="J44" i="2"/>
  <c r="I44" i="2"/>
  <c r="H44" i="2"/>
  <c r="G44" i="2"/>
  <c r="F44" i="2"/>
  <c r="E44" i="2"/>
  <c r="B44" i="55"/>
  <c r="A44" i="55"/>
  <c r="N44" i="55" s="1"/>
  <c r="R43" i="2"/>
  <c r="Q43" i="2"/>
  <c r="P43" i="2"/>
  <c r="O43" i="2"/>
  <c r="M43" i="2"/>
  <c r="L43" i="2"/>
  <c r="K43" i="2"/>
  <c r="J43" i="2"/>
  <c r="I43" i="2"/>
  <c r="H43" i="2"/>
  <c r="G43" i="2"/>
  <c r="F43" i="2"/>
  <c r="E43" i="2"/>
  <c r="B43" i="55"/>
  <c r="A43" i="55"/>
  <c r="N43" i="55" s="1"/>
  <c r="R42" i="2"/>
  <c r="Q42" i="2"/>
  <c r="P42" i="2"/>
  <c r="O42" i="2"/>
  <c r="M42" i="2"/>
  <c r="L42" i="2"/>
  <c r="K42" i="2"/>
  <c r="J42" i="2"/>
  <c r="I42" i="2"/>
  <c r="H42" i="2"/>
  <c r="G42" i="2"/>
  <c r="F42" i="2"/>
  <c r="E42" i="2"/>
  <c r="B42" i="55"/>
  <c r="A42" i="55"/>
  <c r="N42" i="55" s="1"/>
  <c r="R41" i="2"/>
  <c r="Q41" i="2"/>
  <c r="P41" i="2"/>
  <c r="O41" i="2"/>
  <c r="M41" i="2"/>
  <c r="L41" i="2"/>
  <c r="K41" i="2"/>
  <c r="J41" i="2"/>
  <c r="I41" i="2"/>
  <c r="H41" i="2"/>
  <c r="G41" i="2"/>
  <c r="F41" i="2"/>
  <c r="E41" i="2"/>
  <c r="B41" i="55"/>
  <c r="A41" i="55"/>
  <c r="N41" i="55" s="1"/>
  <c r="R40" i="2"/>
  <c r="Q40" i="2"/>
  <c r="P40" i="2"/>
  <c r="O40" i="2"/>
  <c r="M40" i="2"/>
  <c r="L40" i="2"/>
  <c r="K40" i="2"/>
  <c r="J40" i="2"/>
  <c r="I40" i="2"/>
  <c r="H40" i="2"/>
  <c r="G40" i="2"/>
  <c r="F40" i="2"/>
  <c r="E40" i="2"/>
  <c r="B40" i="55"/>
  <c r="A40" i="55"/>
  <c r="N40" i="55" s="1"/>
  <c r="R39" i="2"/>
  <c r="Q39" i="2"/>
  <c r="P39" i="2"/>
  <c r="O39" i="2"/>
  <c r="M39" i="2"/>
  <c r="L39" i="2"/>
  <c r="K39" i="2"/>
  <c r="J39" i="2"/>
  <c r="I39" i="2"/>
  <c r="H39" i="2"/>
  <c r="G39" i="2"/>
  <c r="F39" i="2"/>
  <c r="E39" i="2"/>
  <c r="B39" i="55"/>
  <c r="A39" i="55"/>
  <c r="N39" i="55" s="1"/>
  <c r="R38" i="2"/>
  <c r="Q38" i="2"/>
  <c r="P38" i="2"/>
  <c r="O38" i="2"/>
  <c r="M38" i="2"/>
  <c r="L38" i="2"/>
  <c r="K38" i="2"/>
  <c r="J38" i="2"/>
  <c r="I38" i="2"/>
  <c r="H38" i="2"/>
  <c r="G38" i="2"/>
  <c r="F38" i="2"/>
  <c r="E38" i="2"/>
  <c r="B38" i="55"/>
  <c r="A38" i="55"/>
  <c r="N38" i="55" s="1"/>
  <c r="R37" i="2"/>
  <c r="Q37" i="2"/>
  <c r="P37" i="2"/>
  <c r="O37" i="2"/>
  <c r="M37" i="2"/>
  <c r="L37" i="2"/>
  <c r="K37" i="2"/>
  <c r="J37" i="2"/>
  <c r="I37" i="2"/>
  <c r="H37" i="2"/>
  <c r="G37" i="2"/>
  <c r="F37" i="2"/>
  <c r="E37" i="2"/>
  <c r="B37" i="55"/>
  <c r="A37" i="55"/>
  <c r="N37" i="55" s="1"/>
  <c r="R36" i="2"/>
  <c r="Q36" i="2"/>
  <c r="P36" i="2"/>
  <c r="O36" i="2"/>
  <c r="M36" i="2"/>
  <c r="L36" i="2"/>
  <c r="K36" i="2"/>
  <c r="J36" i="2"/>
  <c r="I36" i="2"/>
  <c r="H36" i="2"/>
  <c r="G36" i="2"/>
  <c r="F36" i="2"/>
  <c r="E36" i="2"/>
  <c r="B36" i="55"/>
  <c r="A36" i="55"/>
  <c r="N36" i="55" s="1"/>
  <c r="R35" i="2"/>
  <c r="Q35" i="2"/>
  <c r="P35" i="2"/>
  <c r="O35" i="2"/>
  <c r="M35" i="2"/>
  <c r="L35" i="2"/>
  <c r="K35" i="2"/>
  <c r="J35" i="2"/>
  <c r="I35" i="2"/>
  <c r="H35" i="2"/>
  <c r="G35" i="2"/>
  <c r="F35" i="2"/>
  <c r="E35" i="2"/>
  <c r="B35" i="55"/>
  <c r="A35" i="55"/>
  <c r="N35" i="55" s="1"/>
  <c r="R34" i="2"/>
  <c r="Q34" i="2"/>
  <c r="P34" i="2"/>
  <c r="O34" i="2"/>
  <c r="M34" i="2"/>
  <c r="L34" i="2"/>
  <c r="K34" i="2"/>
  <c r="J34" i="2"/>
  <c r="I34" i="2"/>
  <c r="H34" i="2"/>
  <c r="G34" i="2"/>
  <c r="F34" i="2"/>
  <c r="E34" i="2"/>
  <c r="B34" i="55"/>
  <c r="A34" i="55"/>
  <c r="N34" i="55" s="1"/>
  <c r="R33" i="2"/>
  <c r="Q33" i="2"/>
  <c r="P33" i="2"/>
  <c r="O33" i="2"/>
  <c r="M33" i="2"/>
  <c r="L33" i="2"/>
  <c r="K33" i="2"/>
  <c r="J33" i="2"/>
  <c r="I33" i="2"/>
  <c r="H33" i="2"/>
  <c r="G33" i="2"/>
  <c r="F33" i="2"/>
  <c r="E33" i="2"/>
  <c r="B33" i="55"/>
  <c r="A33" i="55"/>
  <c r="N33" i="55" s="1"/>
  <c r="R32" i="2"/>
  <c r="Q32" i="2"/>
  <c r="P32" i="2"/>
  <c r="O32" i="2"/>
  <c r="M32" i="2"/>
  <c r="L32" i="2"/>
  <c r="K32" i="2"/>
  <c r="J32" i="2"/>
  <c r="I32" i="2"/>
  <c r="H32" i="2"/>
  <c r="G32" i="2"/>
  <c r="F32" i="2"/>
  <c r="E32" i="2"/>
  <c r="B32" i="55"/>
  <c r="A32" i="55"/>
  <c r="N32" i="55" s="1"/>
  <c r="R31" i="2"/>
  <c r="Q31" i="2"/>
  <c r="P31" i="2"/>
  <c r="O31" i="2"/>
  <c r="M31" i="2"/>
  <c r="L31" i="2"/>
  <c r="K31" i="2"/>
  <c r="J31" i="2"/>
  <c r="I31" i="2"/>
  <c r="H31" i="2"/>
  <c r="G31" i="2"/>
  <c r="F31" i="2"/>
  <c r="E31" i="2"/>
  <c r="B31" i="55"/>
  <c r="A31" i="55"/>
  <c r="N31" i="55" s="1"/>
  <c r="R30" i="2"/>
  <c r="Q30" i="2"/>
  <c r="P30" i="2"/>
  <c r="O30" i="2"/>
  <c r="M30" i="2"/>
  <c r="L30" i="2"/>
  <c r="K30" i="2"/>
  <c r="J30" i="2"/>
  <c r="I30" i="2"/>
  <c r="H30" i="2"/>
  <c r="G30" i="2"/>
  <c r="F30" i="2"/>
  <c r="E30" i="2"/>
  <c r="B30" i="55"/>
  <c r="A30" i="55"/>
  <c r="N30" i="55" s="1"/>
  <c r="R29" i="2"/>
  <c r="Q29" i="2"/>
  <c r="P29" i="2"/>
  <c r="O29" i="2"/>
  <c r="M29" i="2"/>
  <c r="L29" i="2"/>
  <c r="K29" i="2"/>
  <c r="J29" i="2"/>
  <c r="I29" i="2"/>
  <c r="H29" i="2"/>
  <c r="G29" i="2"/>
  <c r="F29" i="2"/>
  <c r="E29" i="2"/>
  <c r="B29" i="55"/>
  <c r="A29" i="55"/>
  <c r="N29" i="55" s="1"/>
  <c r="R28" i="2"/>
  <c r="Q28" i="2"/>
  <c r="P28" i="2"/>
  <c r="O28" i="2"/>
  <c r="M28" i="2"/>
  <c r="L28" i="2"/>
  <c r="K28" i="2"/>
  <c r="J28" i="2"/>
  <c r="I28" i="2"/>
  <c r="H28" i="2"/>
  <c r="G28" i="2"/>
  <c r="F28" i="2"/>
  <c r="E28" i="2"/>
  <c r="B28" i="55"/>
  <c r="A28" i="55"/>
  <c r="N28" i="55" s="1"/>
  <c r="R27" i="2"/>
  <c r="Q27" i="2"/>
  <c r="P27" i="2"/>
  <c r="O27" i="2"/>
  <c r="M27" i="2"/>
  <c r="L27" i="2"/>
  <c r="K27" i="2"/>
  <c r="J27" i="2"/>
  <c r="I27" i="2"/>
  <c r="H27" i="2"/>
  <c r="G27" i="2"/>
  <c r="F27" i="2"/>
  <c r="E27" i="2"/>
  <c r="B27" i="55"/>
  <c r="A27" i="55"/>
  <c r="N27" i="55" s="1"/>
  <c r="R26" i="2"/>
  <c r="Q26" i="2"/>
  <c r="P26" i="2"/>
  <c r="O26" i="2"/>
  <c r="M26" i="2"/>
  <c r="L26" i="2"/>
  <c r="K26" i="2"/>
  <c r="J26" i="2"/>
  <c r="I26" i="2"/>
  <c r="H26" i="2"/>
  <c r="G26" i="2"/>
  <c r="F26" i="2"/>
  <c r="E26" i="2"/>
  <c r="B26" i="55"/>
  <c r="A26" i="55"/>
  <c r="N26" i="55" s="1"/>
  <c r="R25" i="2"/>
  <c r="Q25" i="2"/>
  <c r="P25" i="2"/>
  <c r="O25" i="2"/>
  <c r="M25" i="2"/>
  <c r="L25" i="2"/>
  <c r="K25" i="2"/>
  <c r="J25" i="2"/>
  <c r="I25" i="2"/>
  <c r="H25" i="2"/>
  <c r="G25" i="2"/>
  <c r="F25" i="2"/>
  <c r="E25" i="2"/>
  <c r="B25" i="55"/>
  <c r="A25" i="55"/>
  <c r="N25" i="55" s="1"/>
  <c r="R24" i="2"/>
  <c r="Q24" i="2"/>
  <c r="P24" i="2"/>
  <c r="O24" i="2"/>
  <c r="M24" i="2"/>
  <c r="L24" i="2"/>
  <c r="K24" i="2"/>
  <c r="J24" i="2"/>
  <c r="I24" i="2"/>
  <c r="H24" i="2"/>
  <c r="G24" i="2"/>
  <c r="F24" i="2"/>
  <c r="E24" i="2"/>
  <c r="B24" i="55"/>
  <c r="A24" i="55"/>
  <c r="N24" i="55" s="1"/>
  <c r="R23" i="2"/>
  <c r="Q23" i="2"/>
  <c r="P23" i="2"/>
  <c r="O23" i="2"/>
  <c r="M23" i="2"/>
  <c r="L23" i="2"/>
  <c r="K23" i="2"/>
  <c r="J23" i="2"/>
  <c r="I23" i="2"/>
  <c r="H23" i="2"/>
  <c r="G23" i="2"/>
  <c r="F23" i="2"/>
  <c r="E23" i="2"/>
  <c r="B23" i="55"/>
  <c r="A23" i="55"/>
  <c r="N23" i="55" s="1"/>
  <c r="R22" i="2"/>
  <c r="Q22" i="2"/>
  <c r="P22" i="2"/>
  <c r="O22" i="2"/>
  <c r="M22" i="2"/>
  <c r="L22" i="2"/>
  <c r="K22" i="2"/>
  <c r="J22" i="2"/>
  <c r="I22" i="2"/>
  <c r="H22" i="2"/>
  <c r="G22" i="2"/>
  <c r="F22" i="2"/>
  <c r="E22" i="2"/>
  <c r="B22" i="55"/>
  <c r="A22" i="55"/>
  <c r="N22" i="55" s="1"/>
  <c r="R21" i="2"/>
  <c r="Q21" i="2"/>
  <c r="P21" i="2"/>
  <c r="O21" i="2"/>
  <c r="M21" i="2"/>
  <c r="L21" i="2"/>
  <c r="K21" i="2"/>
  <c r="J21" i="2"/>
  <c r="I21" i="2"/>
  <c r="H21" i="2"/>
  <c r="G21" i="2"/>
  <c r="F21" i="2"/>
  <c r="E21" i="2"/>
  <c r="B21" i="55"/>
  <c r="A21" i="55"/>
  <c r="N21" i="55" s="1"/>
  <c r="R20" i="2"/>
  <c r="Q20" i="2"/>
  <c r="P20" i="2"/>
  <c r="O20" i="2"/>
  <c r="M20" i="2"/>
  <c r="L20" i="2"/>
  <c r="K20" i="2"/>
  <c r="J20" i="2"/>
  <c r="I20" i="2"/>
  <c r="H20" i="2"/>
  <c r="G20" i="2"/>
  <c r="F20" i="2"/>
  <c r="E20" i="2"/>
  <c r="B20" i="55"/>
  <c r="A20" i="55"/>
  <c r="N20" i="55" s="1"/>
  <c r="R19" i="2"/>
  <c r="Q19" i="2"/>
  <c r="P19" i="2"/>
  <c r="O19" i="2"/>
  <c r="M19" i="2"/>
  <c r="L19" i="2"/>
  <c r="K19" i="2"/>
  <c r="J19" i="2"/>
  <c r="I19" i="2"/>
  <c r="H19" i="2"/>
  <c r="G19" i="2"/>
  <c r="F19" i="2"/>
  <c r="E19" i="2"/>
  <c r="B19" i="55"/>
  <c r="A19" i="55"/>
  <c r="N19" i="55" s="1"/>
  <c r="R18" i="2"/>
  <c r="Q18" i="2"/>
  <c r="P18" i="2"/>
  <c r="O18" i="2"/>
  <c r="M18" i="2"/>
  <c r="L18" i="2"/>
  <c r="K18" i="2"/>
  <c r="J18" i="2"/>
  <c r="I18" i="2"/>
  <c r="H18" i="2"/>
  <c r="G18" i="2"/>
  <c r="F18" i="2"/>
  <c r="E18" i="2"/>
  <c r="B18" i="55"/>
  <c r="A18" i="55"/>
  <c r="N18" i="55" s="1"/>
  <c r="R17" i="2"/>
  <c r="Q17" i="2"/>
  <c r="P17" i="2"/>
  <c r="O17" i="2"/>
  <c r="M17" i="2"/>
  <c r="L17" i="2"/>
  <c r="K17" i="2"/>
  <c r="J17" i="2"/>
  <c r="I17" i="2"/>
  <c r="H17" i="2"/>
  <c r="G17" i="2"/>
  <c r="F17" i="2"/>
  <c r="E17" i="2"/>
  <c r="B17" i="55"/>
  <c r="A17" i="55"/>
  <c r="N17" i="55" s="1"/>
  <c r="R16" i="2"/>
  <c r="Q16" i="2"/>
  <c r="P16" i="2"/>
  <c r="O16" i="2"/>
  <c r="M16" i="2"/>
  <c r="L16" i="2"/>
  <c r="K16" i="2"/>
  <c r="J16" i="2"/>
  <c r="I16" i="2"/>
  <c r="H16" i="2"/>
  <c r="G16" i="2"/>
  <c r="F16" i="2"/>
  <c r="E16" i="2"/>
  <c r="B16" i="55"/>
  <c r="A16" i="55"/>
  <c r="N16" i="55" s="1"/>
  <c r="R15" i="2"/>
  <c r="Q15" i="2"/>
  <c r="P15" i="2"/>
  <c r="O15" i="2"/>
  <c r="M15" i="2"/>
  <c r="L15" i="2"/>
  <c r="K15" i="2"/>
  <c r="J15" i="2"/>
  <c r="I15" i="2"/>
  <c r="H15" i="2"/>
  <c r="G15" i="2"/>
  <c r="F15" i="2"/>
  <c r="E15" i="2"/>
  <c r="B15" i="55"/>
  <c r="A15" i="55"/>
  <c r="N15" i="55" s="1"/>
  <c r="R14" i="2"/>
  <c r="Q14" i="2"/>
  <c r="P14" i="2"/>
  <c r="O14" i="2"/>
  <c r="M14" i="2"/>
  <c r="L14" i="2"/>
  <c r="K14" i="2"/>
  <c r="J14" i="2"/>
  <c r="I14" i="2"/>
  <c r="H14" i="2"/>
  <c r="G14" i="2"/>
  <c r="F14" i="2"/>
  <c r="E14" i="2"/>
  <c r="B14" i="55"/>
  <c r="A14" i="55"/>
  <c r="N14" i="55" s="1"/>
  <c r="R13" i="2"/>
  <c r="Q13" i="2"/>
  <c r="P13" i="2"/>
  <c r="O13" i="2"/>
  <c r="M13" i="2"/>
  <c r="L13" i="2"/>
  <c r="K13" i="2"/>
  <c r="J13" i="2"/>
  <c r="I13" i="2"/>
  <c r="H13" i="2"/>
  <c r="G13" i="2"/>
  <c r="F13" i="2"/>
  <c r="E13" i="2"/>
  <c r="B13" i="55"/>
  <c r="A13" i="55"/>
  <c r="N13" i="55" s="1"/>
  <c r="R12" i="2"/>
  <c r="Q12" i="2"/>
  <c r="P12" i="2"/>
  <c r="O12" i="2"/>
  <c r="M12" i="2"/>
  <c r="L12" i="2"/>
  <c r="K12" i="2"/>
  <c r="J12" i="2"/>
  <c r="I12" i="2"/>
  <c r="H12" i="2"/>
  <c r="G12" i="2"/>
  <c r="F12" i="2"/>
  <c r="E12" i="2"/>
  <c r="B12" i="55"/>
  <c r="A12" i="55"/>
  <c r="N12" i="55" s="1"/>
  <c r="R11" i="2"/>
  <c r="Q11" i="2"/>
  <c r="P11" i="2"/>
  <c r="O11" i="2"/>
  <c r="M11" i="2"/>
  <c r="L11" i="2"/>
  <c r="K11" i="2"/>
  <c r="J11" i="2"/>
  <c r="I11" i="2"/>
  <c r="H11" i="2"/>
  <c r="G11" i="2"/>
  <c r="F11" i="2"/>
  <c r="E11" i="2"/>
  <c r="B11" i="55"/>
  <c r="A11" i="55"/>
  <c r="N11" i="55" s="1"/>
  <c r="R10" i="2"/>
  <c r="Q10" i="2"/>
  <c r="P10" i="2"/>
  <c r="O10" i="2"/>
  <c r="M10" i="2"/>
  <c r="L10" i="2"/>
  <c r="K10" i="2"/>
  <c r="J10" i="2"/>
  <c r="I10" i="2"/>
  <c r="H10" i="2"/>
  <c r="G10" i="2"/>
  <c r="F10" i="2"/>
  <c r="E10" i="2"/>
  <c r="B10" i="55"/>
  <c r="A10" i="55"/>
  <c r="N10" i="55" s="1"/>
  <c r="R9" i="2"/>
  <c r="Q9" i="2"/>
  <c r="P9" i="2"/>
  <c r="O9" i="2"/>
  <c r="M9" i="2"/>
  <c r="L9" i="2"/>
  <c r="K9" i="2"/>
  <c r="J9" i="2"/>
  <c r="I9" i="2"/>
  <c r="H9" i="2"/>
  <c r="G9" i="2"/>
  <c r="F9" i="2"/>
  <c r="E9" i="2"/>
  <c r="B9" i="55"/>
  <c r="A9" i="55"/>
  <c r="N9" i="55" s="1"/>
  <c r="R8" i="2"/>
  <c r="Q8" i="2"/>
  <c r="P8" i="2"/>
  <c r="O8" i="2"/>
  <c r="M8" i="2"/>
  <c r="L8" i="2"/>
  <c r="K8" i="2"/>
  <c r="J8" i="2"/>
  <c r="I8" i="2"/>
  <c r="H8" i="2"/>
  <c r="G8" i="2"/>
  <c r="F8" i="2"/>
  <c r="E8" i="2"/>
  <c r="B8" i="55"/>
  <c r="A8" i="55"/>
  <c r="R6" i="53"/>
  <c r="Q6" i="53"/>
  <c r="P6" i="53"/>
  <c r="O6" i="53"/>
  <c r="N6" i="53"/>
  <c r="M6" i="53"/>
  <c r="L6" i="53"/>
  <c r="K6" i="53"/>
  <c r="J6" i="53"/>
  <c r="I6" i="53"/>
  <c r="H6" i="53"/>
  <c r="G6" i="53"/>
  <c r="F6" i="53"/>
  <c r="E6" i="53"/>
  <c r="D6" i="53"/>
  <c r="E16" i="57" l="1"/>
  <c r="L36" i="45"/>
  <c r="E19" i="57"/>
  <c r="N8" i="55"/>
  <c r="N308" i="55" s="1"/>
  <c r="A8" i="29"/>
  <c r="A8" i="21"/>
  <c r="A8" i="9"/>
  <c r="B32" i="29"/>
  <c r="B32" i="21"/>
  <c r="B32" i="9"/>
  <c r="B48" i="29"/>
  <c r="B48" i="21"/>
  <c r="B48" i="9"/>
  <c r="B96" i="29"/>
  <c r="B96" i="21"/>
  <c r="B96" i="9"/>
  <c r="B100" i="29"/>
  <c r="B100" i="21"/>
  <c r="B100" i="9"/>
  <c r="B116" i="29"/>
  <c r="B116" i="21"/>
  <c r="B116" i="9"/>
  <c r="B144" i="29"/>
  <c r="B144" i="9"/>
  <c r="B144" i="21"/>
  <c r="B148" i="29"/>
  <c r="B148" i="21"/>
  <c r="B148" i="9"/>
  <c r="B152" i="29"/>
  <c r="B152" i="21"/>
  <c r="B152" i="9"/>
  <c r="B168" i="29"/>
  <c r="B168" i="21"/>
  <c r="B168" i="9"/>
  <c r="B180" i="29"/>
  <c r="B180" i="21"/>
  <c r="B180" i="9"/>
  <c r="B184" i="29"/>
  <c r="B184" i="21"/>
  <c r="B184" i="9"/>
  <c r="B192" i="29"/>
  <c r="B192" i="21"/>
  <c r="B192" i="9"/>
  <c r="B204" i="29"/>
  <c r="B204" i="21"/>
  <c r="B204" i="9"/>
  <c r="B212" i="29"/>
  <c r="B212" i="21"/>
  <c r="B212" i="9"/>
  <c r="B224" i="29"/>
  <c r="B224" i="21"/>
  <c r="B224" i="9"/>
  <c r="B228" i="29"/>
  <c r="B228" i="21"/>
  <c r="B228" i="9"/>
  <c r="B232" i="29"/>
  <c r="B232" i="21"/>
  <c r="B232" i="9"/>
  <c r="B236" i="29"/>
  <c r="B236" i="21"/>
  <c r="B236" i="9"/>
  <c r="B240" i="29"/>
  <c r="B240" i="21"/>
  <c r="B240" i="9"/>
  <c r="B244" i="29"/>
  <c r="B244" i="21"/>
  <c r="B244" i="9"/>
  <c r="B248" i="29"/>
  <c r="B248" i="21"/>
  <c r="B248" i="9"/>
  <c r="B252" i="29"/>
  <c r="B252" i="21"/>
  <c r="B252" i="9"/>
  <c r="B256" i="29"/>
  <c r="B256" i="21"/>
  <c r="B256" i="9"/>
  <c r="B260" i="29"/>
  <c r="B260" i="21"/>
  <c r="B260" i="9"/>
  <c r="B264" i="29"/>
  <c r="B264" i="21"/>
  <c r="B264" i="9"/>
  <c r="B268" i="29"/>
  <c r="B268" i="21"/>
  <c r="B268" i="9"/>
  <c r="B272" i="29"/>
  <c r="B272" i="21"/>
  <c r="B272" i="9"/>
  <c r="B276" i="29"/>
  <c r="B276" i="21"/>
  <c r="B276" i="9"/>
  <c r="B280" i="29"/>
  <c r="B280" i="21"/>
  <c r="B280" i="9"/>
  <c r="B284" i="29"/>
  <c r="B284" i="21"/>
  <c r="B284" i="9"/>
  <c r="B288" i="29"/>
  <c r="B288" i="21"/>
  <c r="B288" i="9"/>
  <c r="B292" i="29"/>
  <c r="B292" i="21"/>
  <c r="B292" i="9"/>
  <c r="B296" i="29"/>
  <c r="B296" i="21"/>
  <c r="B296" i="9"/>
  <c r="B300" i="29"/>
  <c r="B300" i="21"/>
  <c r="B300" i="9"/>
  <c r="B304" i="29"/>
  <c r="B304" i="21"/>
  <c r="B304" i="9"/>
  <c r="B20" i="29"/>
  <c r="B20" i="21"/>
  <c r="B20" i="9"/>
  <c r="B56" i="29"/>
  <c r="B56" i="9"/>
  <c r="B56" i="21"/>
  <c r="B68" i="21"/>
  <c r="B68" i="9"/>
  <c r="B68" i="29"/>
  <c r="B80" i="29"/>
  <c r="B80" i="21"/>
  <c r="B80" i="9"/>
  <c r="B104" i="29"/>
  <c r="B104" i="21"/>
  <c r="B104" i="9"/>
  <c r="B120" i="29"/>
  <c r="B120" i="21"/>
  <c r="B120" i="9"/>
  <c r="B128" i="29"/>
  <c r="B128" i="9"/>
  <c r="B128" i="21"/>
  <c r="B136" i="29"/>
  <c r="B136" i="21"/>
  <c r="B136" i="9"/>
  <c r="B160" i="29"/>
  <c r="B160" i="21"/>
  <c r="B160" i="9"/>
  <c r="B164" i="29"/>
  <c r="B164" i="21"/>
  <c r="B164" i="9"/>
  <c r="B188" i="29"/>
  <c r="B188" i="21"/>
  <c r="B188" i="9"/>
  <c r="B196" i="29"/>
  <c r="B196" i="21"/>
  <c r="B196" i="9"/>
  <c r="B208" i="29"/>
  <c r="B208" i="21"/>
  <c r="B208" i="9"/>
  <c r="B220" i="29"/>
  <c r="B220" i="21"/>
  <c r="B220" i="9"/>
  <c r="B8" i="21"/>
  <c r="B8" i="29"/>
  <c r="B8" i="9"/>
  <c r="A9" i="29"/>
  <c r="A9" i="21"/>
  <c r="A9" i="9"/>
  <c r="C12" i="29"/>
  <c r="C12" i="9"/>
  <c r="C12" i="21"/>
  <c r="A13" i="29"/>
  <c r="A13" i="21"/>
  <c r="A13" i="9"/>
  <c r="C16" i="29"/>
  <c r="C16" i="21"/>
  <c r="C16" i="9"/>
  <c r="A17" i="29"/>
  <c r="A17" i="21"/>
  <c r="A17" i="9"/>
  <c r="C20" i="29"/>
  <c r="C20" i="9"/>
  <c r="C20" i="21"/>
  <c r="A21" i="29"/>
  <c r="A21" i="21"/>
  <c r="A21" i="9"/>
  <c r="C24" i="29"/>
  <c r="C24" i="21"/>
  <c r="C24" i="9"/>
  <c r="A25" i="29"/>
  <c r="A25" i="21"/>
  <c r="A25" i="9"/>
  <c r="C28" i="29"/>
  <c r="C28" i="9"/>
  <c r="C28" i="21"/>
  <c r="A29" i="29"/>
  <c r="A29" i="21"/>
  <c r="A29" i="9"/>
  <c r="C32" i="29"/>
  <c r="C32" i="21"/>
  <c r="C32" i="9"/>
  <c r="A33" i="29"/>
  <c r="A33" i="21"/>
  <c r="A33" i="9"/>
  <c r="C36" i="29"/>
  <c r="C36" i="9"/>
  <c r="C36" i="21"/>
  <c r="A37" i="29"/>
  <c r="A37" i="21"/>
  <c r="A37" i="9"/>
  <c r="C40" i="29"/>
  <c r="C40" i="21"/>
  <c r="C40" i="9"/>
  <c r="A41" i="29"/>
  <c r="A41" i="21"/>
  <c r="A41" i="9"/>
  <c r="C44" i="29"/>
  <c r="C44" i="21"/>
  <c r="C44" i="9"/>
  <c r="A45" i="29"/>
  <c r="A45" i="21"/>
  <c r="A45" i="9"/>
  <c r="C48" i="29"/>
  <c r="C48" i="21"/>
  <c r="C48" i="9"/>
  <c r="A49" i="29"/>
  <c r="A49" i="21"/>
  <c r="A49" i="9"/>
  <c r="C52" i="29"/>
  <c r="C52" i="21"/>
  <c r="C52" i="9"/>
  <c r="A53" i="29"/>
  <c r="A53" i="21"/>
  <c r="A53" i="9"/>
  <c r="C56" i="29"/>
  <c r="C56" i="21"/>
  <c r="C56" i="9"/>
  <c r="A57" i="29"/>
  <c r="A57" i="21"/>
  <c r="A57" i="9"/>
  <c r="C60" i="29"/>
  <c r="C60" i="21"/>
  <c r="C60" i="9"/>
  <c r="A61" i="29"/>
  <c r="A61" i="21"/>
  <c r="A61" i="9"/>
  <c r="C64" i="21"/>
  <c r="C64" i="29"/>
  <c r="C64" i="9"/>
  <c r="A65" i="29"/>
  <c r="A65" i="21"/>
  <c r="A65" i="9"/>
  <c r="C68" i="29"/>
  <c r="C68" i="9"/>
  <c r="C68" i="21"/>
  <c r="A69" i="29"/>
  <c r="A69" i="21"/>
  <c r="A69" i="9"/>
  <c r="C72" i="29"/>
  <c r="C72" i="21"/>
  <c r="C72" i="9"/>
  <c r="A73" i="29"/>
  <c r="A73" i="21"/>
  <c r="A73" i="9"/>
  <c r="C76" i="29"/>
  <c r="C76" i="9"/>
  <c r="C76" i="21"/>
  <c r="A77" i="29"/>
  <c r="A77" i="21"/>
  <c r="A77" i="9"/>
  <c r="C80" i="21"/>
  <c r="C80" i="29"/>
  <c r="C80" i="9"/>
  <c r="A81" i="29"/>
  <c r="A81" i="21"/>
  <c r="A81" i="9"/>
  <c r="C84" i="29"/>
  <c r="C84" i="9"/>
  <c r="C84" i="21"/>
  <c r="A85" i="29"/>
  <c r="A85" i="21"/>
  <c r="A85" i="9"/>
  <c r="C88" i="29"/>
  <c r="C88" i="21"/>
  <c r="C88" i="9"/>
  <c r="A89" i="29"/>
  <c r="A89" i="21"/>
  <c r="A89" i="9"/>
  <c r="C92" i="29"/>
  <c r="C92" i="9"/>
  <c r="C92" i="21"/>
  <c r="A93" i="29"/>
  <c r="A93" i="21"/>
  <c r="A93" i="9"/>
  <c r="C96" i="29"/>
  <c r="C96" i="21"/>
  <c r="C96" i="9"/>
  <c r="A97" i="29"/>
  <c r="A97" i="21"/>
  <c r="A97" i="9"/>
  <c r="C100" i="29"/>
  <c r="C100" i="9"/>
  <c r="C100" i="21"/>
  <c r="A101" i="29"/>
  <c r="A101" i="21"/>
  <c r="A101" i="9"/>
  <c r="C104" i="29"/>
  <c r="C104" i="21"/>
  <c r="C104" i="9"/>
  <c r="A105" i="29"/>
  <c r="A105" i="21"/>
  <c r="A105" i="9"/>
  <c r="C108" i="29"/>
  <c r="C108" i="21"/>
  <c r="C108" i="9"/>
  <c r="A109" i="29"/>
  <c r="A109" i="21"/>
  <c r="A109" i="9"/>
  <c r="C112" i="29"/>
  <c r="C112" i="21"/>
  <c r="C112" i="9"/>
  <c r="A113" i="29"/>
  <c r="A113" i="21"/>
  <c r="A113" i="9"/>
  <c r="C116" i="29"/>
  <c r="C116" i="9"/>
  <c r="C116" i="21"/>
  <c r="A117" i="29"/>
  <c r="A117" i="21"/>
  <c r="A117" i="9"/>
  <c r="C120" i="21"/>
  <c r="C120" i="29"/>
  <c r="C120" i="9"/>
  <c r="A121" i="29"/>
  <c r="A121" i="21"/>
  <c r="A121" i="9"/>
  <c r="C124" i="29"/>
  <c r="C124" i="21"/>
  <c r="C124" i="9"/>
  <c r="A125" i="29"/>
  <c r="A125" i="21"/>
  <c r="A125" i="9"/>
  <c r="C128" i="21"/>
  <c r="C128" i="9"/>
  <c r="C128" i="29"/>
  <c r="A129" i="29"/>
  <c r="A129" i="21"/>
  <c r="A129" i="9"/>
  <c r="C132" i="29"/>
  <c r="C132" i="9"/>
  <c r="C132" i="21"/>
  <c r="A133" i="29"/>
  <c r="A133" i="21"/>
  <c r="A133" i="9"/>
  <c r="C136" i="29"/>
  <c r="C136" i="21"/>
  <c r="C136" i="9"/>
  <c r="A137" i="29"/>
  <c r="A137" i="21"/>
  <c r="A137" i="9"/>
  <c r="C140" i="21"/>
  <c r="C140" i="29"/>
  <c r="C140" i="9"/>
  <c r="A141" i="29"/>
  <c r="A141" i="21"/>
  <c r="A141" i="9"/>
  <c r="C144" i="29"/>
  <c r="C144" i="21"/>
  <c r="C144" i="9"/>
  <c r="A145" i="29"/>
  <c r="A145" i="21"/>
  <c r="A145" i="9"/>
  <c r="C148" i="29"/>
  <c r="C148" i="9"/>
  <c r="C148" i="21"/>
  <c r="A149" i="29"/>
  <c r="A149" i="21"/>
  <c r="A149" i="9"/>
  <c r="C152" i="29"/>
  <c r="C152" i="21"/>
  <c r="C152" i="9"/>
  <c r="A153" i="29"/>
  <c r="A153" i="9"/>
  <c r="A153" i="21"/>
  <c r="C156" i="29"/>
  <c r="C156" i="21"/>
  <c r="C156" i="9"/>
  <c r="A157" i="29"/>
  <c r="A157" i="21"/>
  <c r="A157" i="9"/>
  <c r="C160" i="29"/>
  <c r="C160" i="21"/>
  <c r="C160" i="9"/>
  <c r="A161" i="29"/>
  <c r="A161" i="9"/>
  <c r="A161" i="21"/>
  <c r="C164" i="29"/>
  <c r="C164" i="21"/>
  <c r="C164" i="9"/>
  <c r="A165" i="29"/>
  <c r="A165" i="21"/>
  <c r="A165" i="9"/>
  <c r="C168" i="29"/>
  <c r="C168" i="21"/>
  <c r="C168" i="9"/>
  <c r="A169" i="29"/>
  <c r="A169" i="21"/>
  <c r="A169" i="9"/>
  <c r="C172" i="29"/>
  <c r="C172" i="21"/>
  <c r="C172" i="9"/>
  <c r="A173" i="29"/>
  <c r="A173" i="21"/>
  <c r="A173" i="9"/>
  <c r="C176" i="29"/>
  <c r="C176" i="21"/>
  <c r="C176" i="9"/>
  <c r="A177" i="29"/>
  <c r="A177" i="21"/>
  <c r="A177" i="9"/>
  <c r="C180" i="29"/>
  <c r="C180" i="21"/>
  <c r="C180" i="9"/>
  <c r="A181" i="29"/>
  <c r="A181" i="21"/>
  <c r="A181" i="9"/>
  <c r="C184" i="29"/>
  <c r="C184" i="21"/>
  <c r="C184" i="9"/>
  <c r="A185" i="29"/>
  <c r="A185" i="9"/>
  <c r="A185" i="21"/>
  <c r="C188" i="29"/>
  <c r="C188" i="21"/>
  <c r="C188" i="9"/>
  <c r="A189" i="29"/>
  <c r="A189" i="21"/>
  <c r="A189" i="9"/>
  <c r="C192" i="29"/>
  <c r="C192" i="21"/>
  <c r="C192" i="9"/>
  <c r="A193" i="29"/>
  <c r="A193" i="9"/>
  <c r="A193" i="21"/>
  <c r="C196" i="29"/>
  <c r="C196" i="21"/>
  <c r="C196" i="9"/>
  <c r="A197" i="29"/>
  <c r="A197" i="21"/>
  <c r="A197" i="9"/>
  <c r="C200" i="29"/>
  <c r="C200" i="21"/>
  <c r="C200" i="9"/>
  <c r="A201" i="29"/>
  <c r="A201" i="21"/>
  <c r="A201" i="9"/>
  <c r="C204" i="21"/>
  <c r="C204" i="9"/>
  <c r="C204" i="29"/>
  <c r="A205" i="29"/>
  <c r="A205" i="21"/>
  <c r="A205" i="9"/>
  <c r="C208" i="29"/>
  <c r="C208" i="21"/>
  <c r="C208" i="9"/>
  <c r="A209" i="29"/>
  <c r="A209" i="21"/>
  <c r="A209" i="9"/>
  <c r="C212" i="29"/>
  <c r="C212" i="21"/>
  <c r="C212" i="9"/>
  <c r="A213" i="29"/>
  <c r="A213" i="21"/>
  <c r="A213" i="9"/>
  <c r="C216" i="29"/>
  <c r="C216" i="21"/>
  <c r="C216" i="9"/>
  <c r="A217" i="29"/>
  <c r="A217" i="9"/>
  <c r="A217" i="21"/>
  <c r="C220" i="29"/>
  <c r="C220" i="21"/>
  <c r="C220" i="9"/>
  <c r="A221" i="29"/>
  <c r="A221" i="21"/>
  <c r="A221" i="9"/>
  <c r="C224" i="29"/>
  <c r="C224" i="21"/>
  <c r="C224" i="9"/>
  <c r="A225" i="29"/>
  <c r="A225" i="9"/>
  <c r="A225" i="21"/>
  <c r="C228" i="29"/>
  <c r="C228" i="21"/>
  <c r="C228" i="9"/>
  <c r="A229" i="29"/>
  <c r="A229" i="21"/>
  <c r="A229" i="9"/>
  <c r="C232" i="29"/>
  <c r="C232" i="21"/>
  <c r="C232" i="9"/>
  <c r="A233" i="29"/>
  <c r="A233" i="9"/>
  <c r="A233" i="21"/>
  <c r="C236" i="29"/>
  <c r="C236" i="21"/>
  <c r="C236" i="9"/>
  <c r="A237" i="29"/>
  <c r="A237" i="21"/>
  <c r="A237" i="9"/>
  <c r="C240" i="29"/>
  <c r="C240" i="21"/>
  <c r="C240" i="9"/>
  <c r="A241" i="29"/>
  <c r="A241" i="21"/>
  <c r="A241" i="9"/>
  <c r="C244" i="21"/>
  <c r="C244" i="29"/>
  <c r="C244" i="9"/>
  <c r="A245" i="29"/>
  <c r="A245" i="21"/>
  <c r="A245" i="9"/>
  <c r="C248" i="29"/>
  <c r="C248" i="21"/>
  <c r="C248" i="9"/>
  <c r="A249" i="29"/>
  <c r="A249" i="9"/>
  <c r="A249" i="21"/>
  <c r="C252" i="29"/>
  <c r="C252" i="21"/>
  <c r="C252" i="9"/>
  <c r="A253" i="29"/>
  <c r="A253" i="21"/>
  <c r="A253" i="9"/>
  <c r="C256" i="29"/>
  <c r="C256" i="21"/>
  <c r="C256" i="9"/>
  <c r="A257" i="29"/>
  <c r="A257" i="9"/>
  <c r="A257" i="21"/>
  <c r="C260" i="21"/>
  <c r="C260" i="29"/>
  <c r="C260" i="9"/>
  <c r="A261" i="29"/>
  <c r="A261" i="21"/>
  <c r="A261" i="9"/>
  <c r="C264" i="29"/>
  <c r="C264" i="21"/>
  <c r="C264" i="9"/>
  <c r="A265" i="29"/>
  <c r="A265" i="21"/>
  <c r="A265" i="9"/>
  <c r="C268" i="29"/>
  <c r="C268" i="21"/>
  <c r="C268" i="9"/>
  <c r="A269" i="29"/>
  <c r="A269" i="21"/>
  <c r="A269" i="9"/>
  <c r="C272" i="29"/>
  <c r="C272" i="21"/>
  <c r="C272" i="9"/>
  <c r="A273" i="29"/>
  <c r="A273" i="9"/>
  <c r="A273" i="21"/>
  <c r="C276" i="29"/>
  <c r="C276" i="21"/>
  <c r="C276" i="9"/>
  <c r="A277" i="29"/>
  <c r="A277" i="21"/>
  <c r="A277" i="9"/>
  <c r="C280" i="29"/>
  <c r="C280" i="21"/>
  <c r="C280" i="9"/>
  <c r="A281" i="29"/>
  <c r="A281" i="9"/>
  <c r="A281" i="21"/>
  <c r="C284" i="29"/>
  <c r="C284" i="21"/>
  <c r="C284" i="9"/>
  <c r="A285" i="29"/>
  <c r="A285" i="21"/>
  <c r="A285" i="9"/>
  <c r="C288" i="29"/>
  <c r="C288" i="21"/>
  <c r="C288" i="9"/>
  <c r="A289" i="29"/>
  <c r="A289" i="9"/>
  <c r="A289" i="21"/>
  <c r="C292" i="29"/>
  <c r="C292" i="21"/>
  <c r="C292" i="9"/>
  <c r="A293" i="29"/>
  <c r="A293" i="21"/>
  <c r="A293" i="9"/>
  <c r="C296" i="29"/>
  <c r="C296" i="21"/>
  <c r="C296" i="9"/>
  <c r="A297" i="29"/>
  <c r="A297" i="9"/>
  <c r="A297" i="21"/>
  <c r="C300" i="29"/>
  <c r="C300" i="21"/>
  <c r="C300" i="9"/>
  <c r="A301" i="29"/>
  <c r="A301" i="21"/>
  <c r="A301" i="9"/>
  <c r="C304" i="29"/>
  <c r="C304" i="21"/>
  <c r="C304" i="9"/>
  <c r="A305" i="29"/>
  <c r="A305" i="21"/>
  <c r="A305" i="9"/>
  <c r="AE308" i="53"/>
  <c r="B16" i="29"/>
  <c r="B16" i="21"/>
  <c r="B16" i="9"/>
  <c r="B24" i="29"/>
  <c r="B24" i="21"/>
  <c r="B24" i="9"/>
  <c r="B36" i="29"/>
  <c r="B36" i="21"/>
  <c r="B36" i="9"/>
  <c r="B40" i="29"/>
  <c r="B40" i="21"/>
  <c r="B40" i="9"/>
  <c r="B44" i="29"/>
  <c r="B44" i="21"/>
  <c r="B44" i="9"/>
  <c r="B64" i="29"/>
  <c r="B64" i="9"/>
  <c r="B64" i="21"/>
  <c r="B72" i="29"/>
  <c r="B72" i="21"/>
  <c r="B72" i="9"/>
  <c r="B92" i="29"/>
  <c r="B92" i="21"/>
  <c r="B92" i="9"/>
  <c r="B124" i="29"/>
  <c r="B124" i="21"/>
  <c r="B124" i="9"/>
  <c r="B140" i="29"/>
  <c r="B140" i="21"/>
  <c r="B140" i="9"/>
  <c r="B176" i="29"/>
  <c r="B176" i="21"/>
  <c r="B176" i="9"/>
  <c r="B216" i="29"/>
  <c r="B216" i="21"/>
  <c r="B216" i="9"/>
  <c r="B9" i="29"/>
  <c r="B9" i="9"/>
  <c r="B9" i="21"/>
  <c r="B13" i="29"/>
  <c r="B13" i="21"/>
  <c r="B13" i="9"/>
  <c r="B17" i="29"/>
  <c r="B17" i="21"/>
  <c r="B17" i="9"/>
  <c r="B25" i="29"/>
  <c r="B25" i="21"/>
  <c r="B25" i="9"/>
  <c r="B29" i="29"/>
  <c r="B29" i="9"/>
  <c r="B29" i="21"/>
  <c r="B33" i="29"/>
  <c r="B33" i="21"/>
  <c r="B33" i="9"/>
  <c r="B37" i="29"/>
  <c r="B37" i="21"/>
  <c r="B37" i="9"/>
  <c r="B41" i="29"/>
  <c r="B41" i="21"/>
  <c r="B41" i="9"/>
  <c r="B45" i="29"/>
  <c r="B45" i="21"/>
  <c r="B45" i="9"/>
  <c r="B49" i="29"/>
  <c r="B49" i="21"/>
  <c r="B49" i="9"/>
  <c r="B53" i="29"/>
  <c r="B53" i="21"/>
  <c r="B53" i="9"/>
  <c r="B57" i="29"/>
  <c r="B57" i="21"/>
  <c r="B57" i="9"/>
  <c r="B61" i="29"/>
  <c r="B61" i="21"/>
  <c r="B61" i="9"/>
  <c r="B65" i="29"/>
  <c r="B65" i="21"/>
  <c r="B65" i="9"/>
  <c r="B69" i="29"/>
  <c r="B69" i="21"/>
  <c r="B69" i="9"/>
  <c r="B73" i="29"/>
  <c r="B73" i="21"/>
  <c r="B73" i="9"/>
  <c r="B77" i="29"/>
  <c r="B77" i="21"/>
  <c r="B77" i="9"/>
  <c r="B81" i="29"/>
  <c r="B81" i="21"/>
  <c r="B81" i="9"/>
  <c r="B85" i="29"/>
  <c r="B85" i="21"/>
  <c r="B85" i="9"/>
  <c r="B89" i="29"/>
  <c r="B89" i="21"/>
  <c r="B89" i="9"/>
  <c r="B93" i="29"/>
  <c r="B93" i="9"/>
  <c r="B93" i="21"/>
  <c r="B97" i="29"/>
  <c r="B97" i="21"/>
  <c r="B97" i="9"/>
  <c r="B101" i="29"/>
  <c r="B101" i="21"/>
  <c r="B101" i="9"/>
  <c r="B105" i="29"/>
  <c r="B105" i="21"/>
  <c r="B105" i="9"/>
  <c r="B109" i="29"/>
  <c r="B109" i="21"/>
  <c r="B109" i="9"/>
  <c r="B113" i="29"/>
  <c r="B113" i="21"/>
  <c r="B113" i="9"/>
  <c r="B117" i="29"/>
  <c r="B117" i="21"/>
  <c r="B117" i="9"/>
  <c r="B121" i="29"/>
  <c r="B121" i="9"/>
  <c r="B121" i="21"/>
  <c r="B125" i="29"/>
  <c r="B125" i="21"/>
  <c r="B125" i="9"/>
  <c r="B129" i="29"/>
  <c r="B129" i="21"/>
  <c r="B129" i="9"/>
  <c r="B133" i="29"/>
  <c r="B133" i="21"/>
  <c r="B133" i="9"/>
  <c r="B137" i="29"/>
  <c r="B137" i="9"/>
  <c r="B137" i="21"/>
  <c r="B141" i="29"/>
  <c r="B141" i="21"/>
  <c r="B141" i="9"/>
  <c r="B145" i="21"/>
  <c r="B145" i="9"/>
  <c r="B145" i="29"/>
  <c r="B149" i="29"/>
  <c r="B149" i="21"/>
  <c r="B149" i="9"/>
  <c r="B153" i="29"/>
  <c r="B153" i="21"/>
  <c r="B153" i="9"/>
  <c r="B157" i="29"/>
  <c r="B157" i="21"/>
  <c r="B157" i="9"/>
  <c r="B161" i="21"/>
  <c r="B161" i="9"/>
  <c r="B161" i="29"/>
  <c r="B165" i="29"/>
  <c r="B165" i="21"/>
  <c r="B165" i="9"/>
  <c r="B169" i="21"/>
  <c r="B169" i="9"/>
  <c r="B169" i="29"/>
  <c r="B173" i="21"/>
  <c r="B173" i="9"/>
  <c r="B173" i="29"/>
  <c r="B177" i="29"/>
  <c r="B177" i="21"/>
  <c r="B177" i="9"/>
  <c r="B181" i="29"/>
  <c r="B181" i="21"/>
  <c r="B181" i="9"/>
  <c r="B185" i="29"/>
  <c r="B185" i="21"/>
  <c r="B185" i="9"/>
  <c r="B189" i="21"/>
  <c r="B189" i="29"/>
  <c r="B189" i="9"/>
  <c r="B193" i="29"/>
  <c r="B193" i="21"/>
  <c r="B193" i="9"/>
  <c r="B197" i="29"/>
  <c r="B197" i="21"/>
  <c r="B197" i="9"/>
  <c r="B201" i="29"/>
  <c r="B201" i="21"/>
  <c r="B201" i="9"/>
  <c r="B205" i="29"/>
  <c r="B205" i="21"/>
  <c r="B205" i="9"/>
  <c r="B209" i="21"/>
  <c r="B209" i="9"/>
  <c r="B209" i="29"/>
  <c r="B213" i="29"/>
  <c r="B213" i="21"/>
  <c r="B213" i="9"/>
  <c r="B217" i="29"/>
  <c r="B217" i="21"/>
  <c r="B217" i="9"/>
  <c r="B221" i="29"/>
  <c r="B221" i="21"/>
  <c r="B221" i="9"/>
  <c r="B225" i="21"/>
  <c r="B225" i="29"/>
  <c r="B225" i="9"/>
  <c r="B229" i="29"/>
  <c r="B229" i="21"/>
  <c r="B229" i="9"/>
  <c r="B233" i="21"/>
  <c r="B233" i="29"/>
  <c r="B233" i="9"/>
  <c r="B237" i="29"/>
  <c r="B237" i="21"/>
  <c r="B237" i="9"/>
  <c r="B241" i="29"/>
  <c r="B241" i="21"/>
  <c r="B241" i="9"/>
  <c r="B245" i="29"/>
  <c r="B245" i="21"/>
  <c r="B245" i="9"/>
  <c r="B249" i="29"/>
  <c r="B249" i="21"/>
  <c r="B249" i="9"/>
  <c r="B253" i="29"/>
  <c r="B253" i="21"/>
  <c r="B253" i="9"/>
  <c r="B257" i="29"/>
  <c r="B257" i="21"/>
  <c r="B257" i="9"/>
  <c r="B261" i="21"/>
  <c r="B261" i="29"/>
  <c r="B261" i="9"/>
  <c r="B265" i="29"/>
  <c r="B265" i="21"/>
  <c r="B265" i="9"/>
  <c r="B269" i="29"/>
  <c r="B269" i="21"/>
  <c r="B269" i="9"/>
  <c r="B273" i="21"/>
  <c r="B273" i="29"/>
  <c r="B273" i="9"/>
  <c r="B277" i="29"/>
  <c r="B277" i="21"/>
  <c r="B277" i="9"/>
  <c r="B281" i="29"/>
  <c r="B281" i="21"/>
  <c r="B281" i="9"/>
  <c r="B285" i="29"/>
  <c r="B285" i="21"/>
  <c r="B285" i="9"/>
  <c r="B289" i="21"/>
  <c r="B289" i="29"/>
  <c r="B289" i="9"/>
  <c r="B293" i="29"/>
  <c r="B293" i="21"/>
  <c r="B293" i="9"/>
  <c r="B297" i="29"/>
  <c r="B297" i="21"/>
  <c r="B297" i="9"/>
  <c r="B301" i="29"/>
  <c r="B301" i="21"/>
  <c r="B301" i="9"/>
  <c r="B305" i="29"/>
  <c r="B305" i="21"/>
  <c r="B305" i="9"/>
  <c r="B28" i="29"/>
  <c r="B28" i="21"/>
  <c r="B28" i="9"/>
  <c r="B52" i="29"/>
  <c r="B52" i="21"/>
  <c r="B52" i="9"/>
  <c r="B60" i="29"/>
  <c r="B60" i="21"/>
  <c r="B60" i="9"/>
  <c r="B76" i="29"/>
  <c r="B76" i="21"/>
  <c r="B76" i="9"/>
  <c r="B84" i="29"/>
  <c r="B84" i="21"/>
  <c r="B84" i="9"/>
  <c r="B88" i="29"/>
  <c r="B88" i="21"/>
  <c r="B88" i="9"/>
  <c r="B108" i="29"/>
  <c r="B108" i="21"/>
  <c r="B108" i="9"/>
  <c r="B112" i="29"/>
  <c r="B112" i="9"/>
  <c r="B112" i="21"/>
  <c r="B132" i="29"/>
  <c r="B132" i="21"/>
  <c r="B132" i="9"/>
  <c r="B156" i="29"/>
  <c r="B156" i="21"/>
  <c r="B156" i="9"/>
  <c r="B172" i="29"/>
  <c r="B172" i="21"/>
  <c r="B172" i="9"/>
  <c r="B200" i="29"/>
  <c r="B200" i="21"/>
  <c r="B200" i="9"/>
  <c r="B21" i="29"/>
  <c r="B21" i="21"/>
  <c r="B21" i="9"/>
  <c r="C9" i="21"/>
  <c r="C9" i="9"/>
  <c r="C9" i="29"/>
  <c r="A10" i="29"/>
  <c r="A10" i="21"/>
  <c r="A10" i="9"/>
  <c r="C13" i="29"/>
  <c r="C13" i="9"/>
  <c r="C13" i="21"/>
  <c r="A14" i="29"/>
  <c r="A14" i="21"/>
  <c r="A14" i="9"/>
  <c r="C17" i="29"/>
  <c r="C17" i="21"/>
  <c r="C17" i="9"/>
  <c r="A18" i="29"/>
  <c r="A18" i="21"/>
  <c r="A18" i="9"/>
  <c r="C21" i="29"/>
  <c r="C21" i="9"/>
  <c r="C21" i="21"/>
  <c r="A22" i="29"/>
  <c r="A22" i="21"/>
  <c r="A22" i="9"/>
  <c r="C25" i="21"/>
  <c r="C25" i="9"/>
  <c r="C25" i="29"/>
  <c r="A26" i="29"/>
  <c r="A26" i="9"/>
  <c r="A26" i="21"/>
  <c r="C29" i="29"/>
  <c r="C29" i="21"/>
  <c r="C29" i="9"/>
  <c r="A30" i="29"/>
  <c r="A30" i="21"/>
  <c r="A30" i="9"/>
  <c r="C33" i="29"/>
  <c r="C33" i="21"/>
  <c r="C33" i="9"/>
  <c r="A34" i="29"/>
  <c r="A34" i="9"/>
  <c r="A34" i="21"/>
  <c r="C37" i="29"/>
  <c r="C37" i="21"/>
  <c r="C37" i="9"/>
  <c r="A38" i="29"/>
  <c r="A38" i="21"/>
  <c r="A38" i="9"/>
  <c r="C41" i="29"/>
  <c r="C41" i="21"/>
  <c r="C41" i="9"/>
  <c r="A42" i="29"/>
  <c r="A42" i="9"/>
  <c r="A42" i="21"/>
  <c r="C45" i="29"/>
  <c r="C45" i="21"/>
  <c r="C45" i="9"/>
  <c r="A46" i="29"/>
  <c r="A46" i="21"/>
  <c r="A46" i="9"/>
  <c r="C49" i="29"/>
  <c r="C49" i="21"/>
  <c r="C49" i="9"/>
  <c r="A50" i="29"/>
  <c r="A50" i="9"/>
  <c r="A50" i="21"/>
  <c r="C53" i="29"/>
  <c r="C53" i="21"/>
  <c r="C53" i="9"/>
  <c r="A54" i="21"/>
  <c r="A54" i="29"/>
  <c r="A54" i="9"/>
  <c r="C57" i="21"/>
  <c r="C57" i="9"/>
  <c r="C57" i="29"/>
  <c r="A58" i="29"/>
  <c r="A58" i="9"/>
  <c r="A58" i="21"/>
  <c r="C61" i="29"/>
  <c r="C61" i="21"/>
  <c r="C61" i="9"/>
  <c r="A62" i="29"/>
  <c r="A62" i="21"/>
  <c r="A62" i="9"/>
  <c r="C65" i="29"/>
  <c r="C65" i="21"/>
  <c r="C65" i="9"/>
  <c r="A66" i="29"/>
  <c r="A66" i="21"/>
  <c r="A66" i="9"/>
  <c r="C69" i="29"/>
  <c r="C69" i="21"/>
  <c r="C69" i="9"/>
  <c r="A70" i="29"/>
  <c r="A70" i="21"/>
  <c r="A70" i="9"/>
  <c r="C73" i="21"/>
  <c r="C73" i="9"/>
  <c r="C73" i="29"/>
  <c r="A74" i="29"/>
  <c r="A74" i="21"/>
  <c r="A74" i="9"/>
  <c r="C77" i="29"/>
  <c r="C77" i="9"/>
  <c r="C77" i="21"/>
  <c r="A78" i="29"/>
  <c r="A78" i="21"/>
  <c r="A78" i="9"/>
  <c r="C81" i="29"/>
  <c r="C81" i="21"/>
  <c r="C81" i="9"/>
  <c r="A82" i="29"/>
  <c r="A82" i="21"/>
  <c r="A82" i="9"/>
  <c r="C85" i="29"/>
  <c r="C85" i="9"/>
  <c r="C85" i="21"/>
  <c r="A86" i="21"/>
  <c r="A86" i="29"/>
  <c r="A86" i="9"/>
  <c r="C89" i="29"/>
  <c r="C89" i="21"/>
  <c r="C89" i="9"/>
  <c r="A90" i="29"/>
  <c r="A90" i="9"/>
  <c r="A90" i="21"/>
  <c r="C93" i="29"/>
  <c r="C93" i="21"/>
  <c r="C93" i="9"/>
  <c r="A94" i="29"/>
  <c r="A94" i="21"/>
  <c r="A94" i="9"/>
  <c r="C97" i="29"/>
  <c r="C97" i="21"/>
  <c r="C97" i="9"/>
  <c r="A98" i="29"/>
  <c r="A98" i="9"/>
  <c r="A98" i="21"/>
  <c r="C101" i="29"/>
  <c r="C101" i="21"/>
  <c r="C101" i="9"/>
  <c r="A102" i="21"/>
  <c r="A102" i="29"/>
  <c r="A102" i="9"/>
  <c r="C105" i="29"/>
  <c r="C105" i="21"/>
  <c r="C105" i="9"/>
  <c r="A106" i="29"/>
  <c r="A106" i="9"/>
  <c r="A106" i="21"/>
  <c r="C109" i="29"/>
  <c r="C109" i="21"/>
  <c r="C109" i="9"/>
  <c r="A110" i="29"/>
  <c r="A110" i="21"/>
  <c r="A110" i="9"/>
  <c r="C113" i="29"/>
  <c r="C113" i="21"/>
  <c r="C113" i="9"/>
  <c r="A114" i="21"/>
  <c r="A114" i="9"/>
  <c r="A114" i="29"/>
  <c r="C117" i="29"/>
  <c r="C117" i="9"/>
  <c r="C117" i="21"/>
  <c r="A118" i="21"/>
  <c r="A118" i="29"/>
  <c r="A118" i="9"/>
  <c r="C121" i="29"/>
  <c r="C121" i="21"/>
  <c r="C121" i="9"/>
  <c r="A122" i="29"/>
  <c r="A122" i="9"/>
  <c r="A122" i="21"/>
  <c r="C125" i="29"/>
  <c r="C125" i="21"/>
  <c r="C125" i="9"/>
  <c r="A126" i="29"/>
  <c r="A126" i="21"/>
  <c r="A126" i="9"/>
  <c r="C129" i="29"/>
  <c r="C129" i="21"/>
  <c r="C129" i="9"/>
  <c r="A130" i="29"/>
  <c r="A130" i="21"/>
  <c r="A130" i="9"/>
  <c r="C133" i="29"/>
  <c r="C133" i="9"/>
  <c r="C133" i="21"/>
  <c r="A134" i="21"/>
  <c r="A134" i="29"/>
  <c r="A134" i="9"/>
  <c r="C137" i="21"/>
  <c r="C137" i="29"/>
  <c r="C137" i="9"/>
  <c r="A138" i="29"/>
  <c r="A138" i="9"/>
  <c r="A138" i="21"/>
  <c r="C141" i="29"/>
  <c r="C141" i="21"/>
  <c r="C141" i="9"/>
  <c r="A142" i="29"/>
  <c r="A142" i="21"/>
  <c r="A142" i="9"/>
  <c r="C145" i="29"/>
  <c r="C145" i="21"/>
  <c r="C145" i="9"/>
  <c r="A146" i="29"/>
  <c r="A146" i="21"/>
  <c r="A146" i="9"/>
  <c r="C149" i="29"/>
  <c r="C149" i="9"/>
  <c r="C149" i="21"/>
  <c r="A150" i="29"/>
  <c r="A150" i="21"/>
  <c r="A150" i="9"/>
  <c r="C153" i="29"/>
  <c r="C153" i="21"/>
  <c r="C153" i="9"/>
  <c r="A154" i="21"/>
  <c r="A154" i="9"/>
  <c r="A154" i="29"/>
  <c r="C157" i="29"/>
  <c r="C157" i="21"/>
  <c r="C157" i="9"/>
  <c r="A158" i="29"/>
  <c r="A158" i="21"/>
  <c r="A158" i="9"/>
  <c r="C161" i="29"/>
  <c r="C161" i="21"/>
  <c r="C161" i="9"/>
  <c r="A162" i="21"/>
  <c r="A162" i="9"/>
  <c r="A162" i="29"/>
  <c r="C165" i="29"/>
  <c r="C165" i="21"/>
  <c r="C165" i="9"/>
  <c r="A166" i="29"/>
  <c r="A166" i="21"/>
  <c r="A166" i="9"/>
  <c r="C169" i="29"/>
  <c r="C169" i="21"/>
  <c r="C169" i="9"/>
  <c r="A170" i="29"/>
  <c r="A170" i="21"/>
  <c r="A170" i="9"/>
  <c r="C173" i="29"/>
  <c r="C173" i="21"/>
  <c r="C173" i="9"/>
  <c r="A174" i="29"/>
  <c r="A174" i="21"/>
  <c r="A174" i="9"/>
  <c r="C177" i="29"/>
  <c r="C177" i="21"/>
  <c r="C177" i="9"/>
  <c r="A178" i="29"/>
  <c r="A178" i="21"/>
  <c r="A178" i="9"/>
  <c r="C181" i="29"/>
  <c r="C181" i="21"/>
  <c r="C181" i="9"/>
  <c r="A182" i="29"/>
  <c r="A182" i="21"/>
  <c r="A182" i="9"/>
  <c r="C185" i="29"/>
  <c r="C185" i="21"/>
  <c r="C185" i="9"/>
  <c r="A186" i="29"/>
  <c r="A186" i="21"/>
  <c r="A186" i="9"/>
  <c r="C189" i="29"/>
  <c r="C189" i="21"/>
  <c r="C189" i="9"/>
  <c r="A190" i="29"/>
  <c r="A190" i="21"/>
  <c r="A190" i="9"/>
  <c r="C193" i="29"/>
  <c r="C193" i="21"/>
  <c r="C193" i="9"/>
  <c r="A194" i="29"/>
  <c r="A194" i="21"/>
  <c r="A194" i="9"/>
  <c r="C197" i="29"/>
  <c r="C197" i="21"/>
  <c r="C197" i="9"/>
  <c r="A198" i="29"/>
  <c r="A198" i="21"/>
  <c r="A198" i="9"/>
  <c r="C201" i="29"/>
  <c r="C201" i="21"/>
  <c r="C201" i="9"/>
  <c r="A202" i="21"/>
  <c r="A202" i="9"/>
  <c r="A202" i="29"/>
  <c r="C205" i="29"/>
  <c r="C205" i="21"/>
  <c r="C205" i="9"/>
  <c r="A206" i="29"/>
  <c r="A206" i="21"/>
  <c r="A206" i="9"/>
  <c r="C209" i="29"/>
  <c r="C209" i="21"/>
  <c r="C209" i="9"/>
  <c r="A210" i="29"/>
  <c r="A210" i="21"/>
  <c r="A210" i="9"/>
  <c r="C213" i="29"/>
  <c r="C213" i="21"/>
  <c r="C213" i="9"/>
  <c r="A214" i="29"/>
  <c r="A214" i="21"/>
  <c r="A214" i="9"/>
  <c r="C217" i="29"/>
  <c r="C217" i="21"/>
  <c r="C217" i="9"/>
  <c r="A218" i="29"/>
  <c r="A218" i="21"/>
  <c r="A218" i="9"/>
  <c r="C221" i="29"/>
  <c r="C221" i="21"/>
  <c r="C221" i="9"/>
  <c r="A222" i="29"/>
  <c r="A222" i="21"/>
  <c r="A222" i="9"/>
  <c r="C225" i="29"/>
  <c r="C225" i="21"/>
  <c r="C225" i="9"/>
  <c r="A226" i="21"/>
  <c r="A226" i="29"/>
  <c r="A226" i="9"/>
  <c r="C229" i="29"/>
  <c r="C229" i="21"/>
  <c r="C229" i="9"/>
  <c r="A230" i="29"/>
  <c r="A230" i="21"/>
  <c r="A230" i="9"/>
  <c r="C233" i="29"/>
  <c r="C233" i="21"/>
  <c r="C233" i="9"/>
  <c r="A234" i="29"/>
  <c r="A234" i="21"/>
  <c r="A234" i="9"/>
  <c r="C237" i="29"/>
  <c r="C237" i="21"/>
  <c r="C237" i="9"/>
  <c r="A238" i="29"/>
  <c r="A238" i="21"/>
  <c r="A238" i="9"/>
  <c r="C241" i="29"/>
  <c r="C241" i="21"/>
  <c r="C241" i="9"/>
  <c r="A242" i="29"/>
  <c r="A242" i="21"/>
  <c r="A242" i="9"/>
  <c r="C245" i="29"/>
  <c r="C245" i="21"/>
  <c r="C245" i="9"/>
  <c r="A246" i="29"/>
  <c r="A246" i="21"/>
  <c r="A246" i="9"/>
  <c r="C249" i="29"/>
  <c r="C249" i="21"/>
  <c r="C249" i="9"/>
  <c r="A250" i="29"/>
  <c r="A250" i="21"/>
  <c r="A250" i="9"/>
  <c r="C253" i="29"/>
  <c r="C253" i="21"/>
  <c r="C253" i="9"/>
  <c r="A254" i="29"/>
  <c r="A254" i="21"/>
  <c r="A254" i="9"/>
  <c r="C257" i="29"/>
  <c r="C257" i="21"/>
  <c r="C257" i="9"/>
  <c r="A258" i="29"/>
  <c r="A258" i="21"/>
  <c r="A258" i="9"/>
  <c r="C261" i="29"/>
  <c r="C261" i="21"/>
  <c r="C261" i="9"/>
  <c r="A262" i="29"/>
  <c r="A262" i="21"/>
  <c r="A262" i="9"/>
  <c r="C265" i="29"/>
  <c r="C265" i="21"/>
  <c r="C265" i="9"/>
  <c r="A266" i="21"/>
  <c r="A266" i="29"/>
  <c r="A266" i="9"/>
  <c r="C269" i="29"/>
  <c r="C269" i="21"/>
  <c r="C269" i="9"/>
  <c r="A270" i="29"/>
  <c r="A270" i="21"/>
  <c r="A270" i="9"/>
  <c r="C273" i="29"/>
  <c r="C273" i="21"/>
  <c r="C273" i="9"/>
  <c r="A274" i="29"/>
  <c r="A274" i="21"/>
  <c r="A274" i="9"/>
  <c r="C277" i="29"/>
  <c r="C277" i="21"/>
  <c r="C277" i="9"/>
  <c r="A278" i="29"/>
  <c r="A278" i="21"/>
  <c r="A278" i="9"/>
  <c r="C281" i="29"/>
  <c r="C281" i="21"/>
  <c r="C281" i="9"/>
  <c r="A282" i="21"/>
  <c r="A282" i="29"/>
  <c r="A282" i="9"/>
  <c r="C285" i="29"/>
  <c r="C285" i="21"/>
  <c r="C285" i="9"/>
  <c r="A286" i="29"/>
  <c r="A286" i="21"/>
  <c r="A286" i="9"/>
  <c r="C289" i="29"/>
  <c r="C289" i="21"/>
  <c r="C289" i="9"/>
  <c r="A290" i="29"/>
  <c r="A290" i="21"/>
  <c r="A290" i="9"/>
  <c r="C293" i="29"/>
  <c r="C293" i="21"/>
  <c r="C293" i="9"/>
  <c r="A294" i="29"/>
  <c r="A294" i="21"/>
  <c r="A294" i="9"/>
  <c r="C297" i="29"/>
  <c r="C297" i="21"/>
  <c r="C297" i="9"/>
  <c r="A298" i="21"/>
  <c r="A298" i="29"/>
  <c r="A298" i="9"/>
  <c r="C301" i="29"/>
  <c r="C301" i="21"/>
  <c r="C301" i="9"/>
  <c r="A302" i="29"/>
  <c r="A302" i="21"/>
  <c r="A302" i="9"/>
  <c r="C305" i="29"/>
  <c r="C305" i="21"/>
  <c r="C305" i="9"/>
  <c r="A306" i="29"/>
  <c r="A306" i="21"/>
  <c r="A306" i="9"/>
  <c r="B194" i="29"/>
  <c r="B194" i="21"/>
  <c r="B194" i="9"/>
  <c r="B198" i="29"/>
  <c r="B198" i="21"/>
  <c r="B198" i="9"/>
  <c r="B202" i="29"/>
  <c r="B202" i="21"/>
  <c r="B202" i="9"/>
  <c r="B206" i="29"/>
  <c r="B206" i="9"/>
  <c r="B206" i="21"/>
  <c r="B210" i="29"/>
  <c r="B210" i="21"/>
  <c r="B210" i="9"/>
  <c r="B214" i="29"/>
  <c r="B214" i="9"/>
  <c r="B214" i="21"/>
  <c r="B218" i="29"/>
  <c r="B218" i="21"/>
  <c r="B218" i="9"/>
  <c r="B222" i="29"/>
  <c r="B222" i="21"/>
  <c r="B222" i="9"/>
  <c r="B226" i="29"/>
  <c r="B226" i="21"/>
  <c r="B226" i="9"/>
  <c r="B230" i="29"/>
  <c r="B230" i="9"/>
  <c r="B230" i="21"/>
  <c r="B234" i="29"/>
  <c r="B234" i="21"/>
  <c r="B234" i="9"/>
  <c r="B238" i="29"/>
  <c r="B238" i="9"/>
  <c r="B238" i="21"/>
  <c r="B242" i="29"/>
  <c r="B242" i="21"/>
  <c r="B242" i="9"/>
  <c r="B246" i="29"/>
  <c r="B246" i="9"/>
  <c r="B246" i="21"/>
  <c r="B250" i="29"/>
  <c r="B250" i="21"/>
  <c r="B250" i="9"/>
  <c r="B254" i="29"/>
  <c r="B254" i="9"/>
  <c r="B254" i="21"/>
  <c r="B258" i="29"/>
  <c r="B258" i="21"/>
  <c r="B258" i="9"/>
  <c r="B262" i="29"/>
  <c r="B262" i="21"/>
  <c r="B262" i="9"/>
  <c r="B266" i="29"/>
  <c r="B266" i="21"/>
  <c r="B266" i="9"/>
  <c r="B270" i="29"/>
  <c r="B270" i="9"/>
  <c r="B270" i="21"/>
  <c r="B274" i="29"/>
  <c r="B274" i="21"/>
  <c r="B274" i="9"/>
  <c r="B278" i="29"/>
  <c r="B278" i="9"/>
  <c r="B278" i="21"/>
  <c r="B282" i="29"/>
  <c r="B282" i="21"/>
  <c r="B282" i="9"/>
  <c r="B286" i="29"/>
  <c r="B286" i="21"/>
  <c r="B286" i="9"/>
  <c r="B290" i="29"/>
  <c r="B290" i="21"/>
  <c r="B290" i="9"/>
  <c r="B294" i="29"/>
  <c r="B294" i="9"/>
  <c r="B294" i="21"/>
  <c r="B298" i="29"/>
  <c r="B298" i="21"/>
  <c r="B298" i="9"/>
  <c r="B302" i="29"/>
  <c r="B302" i="9"/>
  <c r="B302" i="21"/>
  <c r="B306" i="29"/>
  <c r="B306" i="21"/>
  <c r="B306" i="9"/>
  <c r="AC308" i="53"/>
  <c r="B22" i="29"/>
  <c r="B22" i="21"/>
  <c r="B22" i="9"/>
  <c r="B26" i="29"/>
  <c r="B26" i="21"/>
  <c r="B26" i="9"/>
  <c r="B66" i="29"/>
  <c r="B66" i="21"/>
  <c r="B66" i="9"/>
  <c r="B70" i="29"/>
  <c r="B70" i="21"/>
  <c r="B70" i="9"/>
  <c r="B86" i="29"/>
  <c r="B86" i="21"/>
  <c r="B86" i="9"/>
  <c r="B90" i="29"/>
  <c r="B90" i="21"/>
  <c r="B90" i="9"/>
  <c r="B102" i="29"/>
  <c r="B102" i="21"/>
  <c r="B102" i="9"/>
  <c r="B122" i="29"/>
  <c r="B122" i="21"/>
  <c r="B122" i="9"/>
  <c r="B150" i="29"/>
  <c r="B150" i="21"/>
  <c r="B150" i="9"/>
  <c r="B170" i="29"/>
  <c r="B170" i="21"/>
  <c r="B170" i="9"/>
  <c r="B178" i="29"/>
  <c r="B178" i="21"/>
  <c r="B178" i="9"/>
  <c r="B186" i="29"/>
  <c r="B186" i="21"/>
  <c r="B186" i="9"/>
  <c r="B190" i="29"/>
  <c r="B190" i="21"/>
  <c r="B190" i="9"/>
  <c r="C10" i="29"/>
  <c r="C10" i="21"/>
  <c r="C10" i="9"/>
  <c r="A11" i="29"/>
  <c r="A11" i="21"/>
  <c r="A11" i="9"/>
  <c r="C14" i="29"/>
  <c r="C14" i="21"/>
  <c r="C14" i="9"/>
  <c r="A15" i="29"/>
  <c r="A15" i="21"/>
  <c r="A15" i="9"/>
  <c r="C18" i="29"/>
  <c r="C18" i="21"/>
  <c r="C18" i="9"/>
  <c r="A19" i="29"/>
  <c r="A19" i="21"/>
  <c r="A19" i="9"/>
  <c r="C22" i="29"/>
  <c r="C22" i="21"/>
  <c r="C22" i="9"/>
  <c r="A23" i="29"/>
  <c r="A23" i="21"/>
  <c r="A23" i="9"/>
  <c r="C26" i="29"/>
  <c r="C26" i="21"/>
  <c r="C26" i="9"/>
  <c r="A27" i="29"/>
  <c r="A27" i="21"/>
  <c r="A27" i="9"/>
  <c r="C30" i="29"/>
  <c r="C30" i="21"/>
  <c r="C30" i="9"/>
  <c r="A31" i="21"/>
  <c r="A31" i="29"/>
  <c r="A31" i="9"/>
  <c r="C34" i="29"/>
  <c r="C34" i="21"/>
  <c r="C34" i="9"/>
  <c r="A35" i="29"/>
  <c r="A35" i="9"/>
  <c r="A35" i="21"/>
  <c r="C38" i="29"/>
  <c r="C38" i="21"/>
  <c r="C38" i="9"/>
  <c r="A39" i="29"/>
  <c r="A39" i="21"/>
  <c r="A39" i="9"/>
  <c r="C42" i="29"/>
  <c r="C42" i="21"/>
  <c r="C42" i="9"/>
  <c r="A43" i="29"/>
  <c r="A43" i="9"/>
  <c r="A43" i="21"/>
  <c r="C46" i="29"/>
  <c r="C46" i="21"/>
  <c r="C46" i="9"/>
  <c r="A47" i="29"/>
  <c r="A47" i="21"/>
  <c r="A47" i="9"/>
  <c r="C50" i="29"/>
  <c r="C50" i="9"/>
  <c r="C50" i="21"/>
  <c r="A51" i="29"/>
  <c r="A51" i="21"/>
  <c r="A51" i="9"/>
  <c r="C54" i="29"/>
  <c r="C54" i="21"/>
  <c r="C54" i="9"/>
  <c r="A55" i="29"/>
  <c r="A55" i="21"/>
  <c r="A55" i="9"/>
  <c r="C58" i="29"/>
  <c r="C58" i="21"/>
  <c r="C58" i="9"/>
  <c r="A59" i="29"/>
  <c r="A59" i="21"/>
  <c r="A59" i="9"/>
  <c r="C62" i="29"/>
  <c r="C62" i="21"/>
  <c r="C62" i="9"/>
  <c r="A63" i="29"/>
  <c r="A63" i="21"/>
  <c r="A63" i="9"/>
  <c r="C66" i="29"/>
  <c r="C66" i="21"/>
  <c r="C66" i="9"/>
  <c r="A67" i="29"/>
  <c r="A67" i="21"/>
  <c r="A67" i="9"/>
  <c r="C70" i="29"/>
  <c r="C70" i="21"/>
  <c r="C70" i="9"/>
  <c r="A71" i="29"/>
  <c r="A71" i="21"/>
  <c r="A71" i="9"/>
  <c r="C74" i="29"/>
  <c r="C74" i="21"/>
  <c r="C74" i="9"/>
  <c r="A75" i="29"/>
  <c r="A75" i="21"/>
  <c r="A75" i="9"/>
  <c r="C78" i="29"/>
  <c r="C78" i="21"/>
  <c r="C78" i="9"/>
  <c r="A79" i="29"/>
  <c r="A79" i="21"/>
  <c r="A79" i="9"/>
  <c r="C82" i="29"/>
  <c r="C82" i="21"/>
  <c r="C82" i="9"/>
  <c r="A83" i="29"/>
  <c r="A83" i="21"/>
  <c r="A83" i="9"/>
  <c r="C86" i="29"/>
  <c r="C86" i="21"/>
  <c r="C86" i="9"/>
  <c r="A87" i="29"/>
  <c r="A87" i="21"/>
  <c r="A87" i="9"/>
  <c r="C90" i="29"/>
  <c r="C90" i="21"/>
  <c r="C90" i="9"/>
  <c r="A91" i="29"/>
  <c r="A91" i="21"/>
  <c r="A91" i="9"/>
  <c r="C94" i="29"/>
  <c r="C94" i="21"/>
  <c r="C94" i="9"/>
  <c r="A95" i="21"/>
  <c r="A95" i="29"/>
  <c r="A95" i="9"/>
  <c r="C98" i="29"/>
  <c r="C98" i="21"/>
  <c r="C98" i="9"/>
  <c r="A99" i="29"/>
  <c r="A99" i="9"/>
  <c r="A99" i="21"/>
  <c r="C102" i="29"/>
  <c r="C102" i="21"/>
  <c r="C102" i="9"/>
  <c r="A103" i="29"/>
  <c r="A103" i="21"/>
  <c r="A103" i="9"/>
  <c r="C106" i="29"/>
  <c r="C106" i="21"/>
  <c r="C106" i="9"/>
  <c r="A107" i="29"/>
  <c r="A107" i="9"/>
  <c r="A107" i="21"/>
  <c r="C110" i="29"/>
  <c r="C110" i="9"/>
  <c r="C110" i="21"/>
  <c r="A111" i="21"/>
  <c r="A111" i="9"/>
  <c r="A111" i="29"/>
  <c r="C114" i="29"/>
  <c r="C114" i="21"/>
  <c r="C114" i="9"/>
  <c r="A115" i="29"/>
  <c r="A115" i="21"/>
  <c r="A115" i="9"/>
  <c r="C118" i="29"/>
  <c r="C118" i="21"/>
  <c r="C118" i="9"/>
  <c r="A119" i="29"/>
  <c r="A119" i="21"/>
  <c r="A119" i="9"/>
  <c r="C122" i="29"/>
  <c r="C122" i="21"/>
  <c r="C122" i="9"/>
  <c r="A123" i="29"/>
  <c r="A123" i="9"/>
  <c r="A123" i="21"/>
  <c r="C126" i="29"/>
  <c r="C126" i="9"/>
  <c r="C126" i="21"/>
  <c r="A127" i="29"/>
  <c r="A127" i="21"/>
  <c r="A127" i="9"/>
  <c r="C130" i="29"/>
  <c r="C130" i="21"/>
  <c r="C130" i="9"/>
  <c r="A131" i="29"/>
  <c r="A131" i="21"/>
  <c r="A131" i="9"/>
  <c r="C134" i="29"/>
  <c r="C134" i="21"/>
  <c r="C134" i="9"/>
  <c r="A135" i="29"/>
  <c r="A135" i="21"/>
  <c r="A135" i="9"/>
  <c r="C138" i="29"/>
  <c r="C138" i="21"/>
  <c r="C138" i="9"/>
  <c r="A139" i="29"/>
  <c r="A139" i="9"/>
  <c r="A139" i="21"/>
  <c r="C142" i="29"/>
  <c r="C142" i="9"/>
  <c r="C142" i="21"/>
  <c r="A143" i="29"/>
  <c r="A143" i="21"/>
  <c r="A143" i="9"/>
  <c r="C146" i="21"/>
  <c r="C146" i="29"/>
  <c r="C146" i="9"/>
  <c r="A147" i="29"/>
  <c r="A147" i="21"/>
  <c r="A147" i="9"/>
  <c r="C150" i="29"/>
  <c r="C150" i="9"/>
  <c r="C150" i="21"/>
  <c r="A151" i="29"/>
  <c r="A151" i="21"/>
  <c r="A151" i="9"/>
  <c r="C154" i="29"/>
  <c r="C154" i="21"/>
  <c r="C154" i="9"/>
  <c r="A155" i="29"/>
  <c r="A155" i="21"/>
  <c r="A155" i="9"/>
  <c r="C158" i="29"/>
  <c r="C158" i="21"/>
  <c r="C158" i="9"/>
  <c r="A159" i="29"/>
  <c r="A159" i="21"/>
  <c r="A159" i="9"/>
  <c r="C162" i="29"/>
  <c r="C162" i="21"/>
  <c r="C162" i="9"/>
  <c r="A163" i="29"/>
  <c r="A163" i="21"/>
  <c r="A163" i="9"/>
  <c r="C166" i="21"/>
  <c r="C166" i="9"/>
  <c r="C166" i="29"/>
  <c r="A167" i="29"/>
  <c r="A167" i="21"/>
  <c r="A167" i="9"/>
  <c r="C170" i="29"/>
  <c r="C170" i="21"/>
  <c r="C170" i="9"/>
  <c r="A171" i="29"/>
  <c r="A171" i="21"/>
  <c r="A171" i="9"/>
  <c r="C174" i="29"/>
  <c r="C174" i="21"/>
  <c r="C174" i="9"/>
  <c r="A175" i="29"/>
  <c r="A175" i="21"/>
  <c r="A175" i="9"/>
  <c r="C178" i="29"/>
  <c r="C178" i="21"/>
  <c r="C178" i="9"/>
  <c r="A179" i="29"/>
  <c r="A179" i="21"/>
  <c r="A179" i="9"/>
  <c r="C182" i="21"/>
  <c r="C182" i="9"/>
  <c r="C182" i="29"/>
  <c r="A183" i="29"/>
  <c r="A183" i="21"/>
  <c r="A183" i="9"/>
  <c r="C186" i="29"/>
  <c r="C186" i="21"/>
  <c r="C186" i="9"/>
  <c r="A187" i="29"/>
  <c r="A187" i="21"/>
  <c r="A187" i="9"/>
  <c r="C190" i="21"/>
  <c r="C190" i="9"/>
  <c r="C190" i="29"/>
  <c r="A191" i="29"/>
  <c r="A191" i="21"/>
  <c r="A191" i="9"/>
  <c r="C194" i="29"/>
  <c r="C194" i="21"/>
  <c r="C194" i="9"/>
  <c r="A195" i="29"/>
  <c r="A195" i="21"/>
  <c r="A195" i="9"/>
  <c r="C198" i="29"/>
  <c r="C198" i="21"/>
  <c r="C198" i="9"/>
  <c r="A199" i="29"/>
  <c r="A199" i="21"/>
  <c r="A199" i="9"/>
  <c r="C202" i="29"/>
  <c r="C202" i="21"/>
  <c r="C202" i="9"/>
  <c r="A203" i="29"/>
  <c r="A203" i="21"/>
  <c r="A203" i="9"/>
  <c r="C206" i="29"/>
  <c r="C206" i="21"/>
  <c r="C206" i="9"/>
  <c r="A207" i="29"/>
  <c r="A207" i="21"/>
  <c r="A207" i="9"/>
  <c r="C210" i="21"/>
  <c r="C210" i="29"/>
  <c r="C210" i="9"/>
  <c r="A211" i="29"/>
  <c r="A211" i="21"/>
  <c r="A211" i="9"/>
  <c r="C214" i="29"/>
  <c r="C214" i="21"/>
  <c r="C214" i="9"/>
  <c r="A215" i="29"/>
  <c r="A215" i="21"/>
  <c r="A215" i="9"/>
  <c r="C218" i="29"/>
  <c r="C218" i="21"/>
  <c r="C218" i="9"/>
  <c r="A219" i="29"/>
  <c r="A219" i="21"/>
  <c r="A219" i="9"/>
  <c r="C222" i="29"/>
  <c r="C222" i="21"/>
  <c r="C222" i="9"/>
  <c r="A223" i="29"/>
  <c r="A223" i="21"/>
  <c r="A223" i="9"/>
  <c r="C226" i="29"/>
  <c r="C226" i="21"/>
  <c r="C226" i="9"/>
  <c r="A227" i="29"/>
  <c r="A227" i="21"/>
  <c r="A227" i="9"/>
  <c r="C230" i="21"/>
  <c r="C230" i="29"/>
  <c r="C230" i="9"/>
  <c r="A231" i="29"/>
  <c r="A231" i="21"/>
  <c r="A231" i="9"/>
  <c r="C234" i="29"/>
  <c r="C234" i="21"/>
  <c r="C234" i="9"/>
  <c r="A235" i="29"/>
  <c r="A235" i="21"/>
  <c r="A235" i="9"/>
  <c r="C238" i="29"/>
  <c r="C238" i="21"/>
  <c r="C238" i="9"/>
  <c r="A239" i="29"/>
  <c r="A239" i="21"/>
  <c r="A239" i="9"/>
  <c r="C242" i="29"/>
  <c r="C242" i="21"/>
  <c r="C242" i="9"/>
  <c r="A243" i="29"/>
  <c r="A243" i="21"/>
  <c r="A243" i="9"/>
  <c r="C246" i="21"/>
  <c r="C246" i="29"/>
  <c r="C246" i="9"/>
  <c r="A247" i="29"/>
  <c r="A247" i="21"/>
  <c r="A247" i="9"/>
  <c r="C250" i="29"/>
  <c r="C250" i="21"/>
  <c r="C250" i="9"/>
  <c r="A251" i="29"/>
  <c r="A251" i="21"/>
  <c r="A251" i="9"/>
  <c r="C254" i="21"/>
  <c r="C254" i="29"/>
  <c r="C254" i="9"/>
  <c r="A255" i="29"/>
  <c r="A255" i="21"/>
  <c r="A255" i="9"/>
  <c r="C258" i="29"/>
  <c r="C258" i="21"/>
  <c r="C258" i="9"/>
  <c r="A259" i="29"/>
  <c r="A259" i="21"/>
  <c r="A259" i="9"/>
  <c r="C262" i="29"/>
  <c r="C262" i="21"/>
  <c r="C262" i="9"/>
  <c r="A263" i="29"/>
  <c r="A263" i="21"/>
  <c r="A263" i="9"/>
  <c r="C266" i="29"/>
  <c r="C266" i="21"/>
  <c r="C266" i="9"/>
  <c r="A267" i="29"/>
  <c r="A267" i="21"/>
  <c r="A267" i="9"/>
  <c r="C270" i="29"/>
  <c r="C270" i="21"/>
  <c r="C270" i="9"/>
  <c r="A271" i="29"/>
  <c r="A271" i="21"/>
  <c r="A271" i="9"/>
  <c r="C274" i="29"/>
  <c r="C274" i="21"/>
  <c r="C274" i="9"/>
  <c r="A275" i="29"/>
  <c r="A275" i="21"/>
  <c r="A275" i="9"/>
  <c r="C278" i="29"/>
  <c r="C278" i="21"/>
  <c r="C278" i="9"/>
  <c r="A279" i="29"/>
  <c r="A279" i="21"/>
  <c r="A279" i="9"/>
  <c r="C282" i="21"/>
  <c r="C282" i="29"/>
  <c r="C282" i="9"/>
  <c r="A283" i="29"/>
  <c r="A283" i="21"/>
  <c r="A283" i="9"/>
  <c r="C286" i="29"/>
  <c r="C286" i="21"/>
  <c r="C286" i="9"/>
  <c r="A287" i="29"/>
  <c r="A287" i="21"/>
  <c r="A287" i="9"/>
  <c r="C290" i="29"/>
  <c r="C290" i="21"/>
  <c r="C290" i="9"/>
  <c r="A291" i="29"/>
  <c r="A291" i="21"/>
  <c r="A291" i="9"/>
  <c r="C294" i="21"/>
  <c r="C294" i="29"/>
  <c r="C294" i="9"/>
  <c r="A295" i="29"/>
  <c r="A295" i="21"/>
  <c r="A295" i="9"/>
  <c r="C298" i="29"/>
  <c r="C298" i="21"/>
  <c r="C298" i="9"/>
  <c r="A299" i="21"/>
  <c r="A299" i="29"/>
  <c r="A299" i="9"/>
  <c r="C302" i="29"/>
  <c r="C302" i="21"/>
  <c r="C302" i="9"/>
  <c r="A303" i="29"/>
  <c r="A303" i="21"/>
  <c r="A303" i="9"/>
  <c r="C306" i="29"/>
  <c r="C306" i="21"/>
  <c r="C306" i="9"/>
  <c r="A307" i="29"/>
  <c r="A307" i="21"/>
  <c r="A307" i="9"/>
  <c r="C8" i="21"/>
  <c r="C8" i="29"/>
  <c r="C8" i="9"/>
  <c r="B14" i="29"/>
  <c r="B14" i="21"/>
  <c r="B14" i="9"/>
  <c r="B18" i="29"/>
  <c r="B18" i="21"/>
  <c r="B18" i="9"/>
  <c r="B30" i="29"/>
  <c r="B30" i="21"/>
  <c r="B30" i="9"/>
  <c r="B54" i="29"/>
  <c r="B54" i="21"/>
  <c r="B54" i="9"/>
  <c r="B74" i="29"/>
  <c r="B74" i="21"/>
  <c r="B74" i="9"/>
  <c r="B78" i="29"/>
  <c r="B78" i="21"/>
  <c r="B78" i="9"/>
  <c r="B106" i="29"/>
  <c r="B106" i="21"/>
  <c r="B106" i="9"/>
  <c r="B126" i="29"/>
  <c r="B126" i="21"/>
  <c r="B126" i="9"/>
  <c r="B130" i="29"/>
  <c r="B130" i="21"/>
  <c r="B130" i="9"/>
  <c r="B142" i="29"/>
  <c r="B142" i="21"/>
  <c r="B142" i="9"/>
  <c r="B146" i="29"/>
  <c r="B146" i="21"/>
  <c r="B146" i="9"/>
  <c r="B11" i="29"/>
  <c r="B11" i="21"/>
  <c r="B11" i="9"/>
  <c r="B23" i="29"/>
  <c r="B23" i="21"/>
  <c r="B23" i="9"/>
  <c r="B27" i="29"/>
  <c r="B27" i="21"/>
  <c r="B27" i="9"/>
  <c r="B31" i="29"/>
  <c r="B31" i="21"/>
  <c r="B31" i="9"/>
  <c r="B35" i="29"/>
  <c r="B35" i="21"/>
  <c r="B35" i="9"/>
  <c r="B39" i="29"/>
  <c r="B39" i="21"/>
  <c r="B39" i="9"/>
  <c r="B43" i="21"/>
  <c r="B43" i="29"/>
  <c r="B43" i="9"/>
  <c r="B47" i="29"/>
  <c r="B47" i="9"/>
  <c r="B47" i="21"/>
  <c r="B51" i="29"/>
  <c r="B51" i="21"/>
  <c r="B51" i="9"/>
  <c r="B55" i="29"/>
  <c r="B55" i="9"/>
  <c r="B55" i="21"/>
  <c r="B59" i="29"/>
  <c r="B59" i="21"/>
  <c r="B59" i="9"/>
  <c r="B63" i="29"/>
  <c r="B63" i="9"/>
  <c r="B63" i="21"/>
  <c r="B67" i="29"/>
  <c r="B67" i="21"/>
  <c r="B67" i="9"/>
  <c r="B71" i="29"/>
  <c r="B71" i="9"/>
  <c r="B71" i="21"/>
  <c r="B75" i="21"/>
  <c r="B75" i="29"/>
  <c r="B75" i="9"/>
  <c r="B79" i="29"/>
  <c r="B79" i="9"/>
  <c r="B79" i="21"/>
  <c r="B83" i="29"/>
  <c r="B83" i="21"/>
  <c r="B83" i="9"/>
  <c r="B87" i="21"/>
  <c r="B87" i="9"/>
  <c r="B87" i="29"/>
  <c r="B91" i="29"/>
  <c r="B91" i="21"/>
  <c r="B91" i="9"/>
  <c r="B95" i="29"/>
  <c r="B95" i="21"/>
  <c r="B95" i="9"/>
  <c r="B99" i="29"/>
  <c r="B99" i="21"/>
  <c r="B99" i="9"/>
  <c r="B103" i="29"/>
  <c r="B103" i="21"/>
  <c r="B103" i="9"/>
  <c r="B107" i="21"/>
  <c r="B107" i="29"/>
  <c r="B107" i="9"/>
  <c r="B111" i="29"/>
  <c r="B111" i="9"/>
  <c r="B111" i="21"/>
  <c r="B115" i="29"/>
  <c r="B115" i="21"/>
  <c r="B115" i="9"/>
  <c r="B119" i="29"/>
  <c r="B119" i="21"/>
  <c r="B119" i="9"/>
  <c r="B123" i="21"/>
  <c r="B123" i="29"/>
  <c r="B123" i="9"/>
  <c r="B127" i="9"/>
  <c r="B127" i="21"/>
  <c r="B127" i="29"/>
  <c r="B131" i="29"/>
  <c r="B131" i="21"/>
  <c r="B131" i="9"/>
  <c r="B135" i="29"/>
  <c r="B135" i="21"/>
  <c r="B135" i="9"/>
  <c r="B139" i="29"/>
  <c r="B139" i="21"/>
  <c r="B139" i="9"/>
  <c r="B143" i="29"/>
  <c r="B143" i="9"/>
  <c r="B143" i="21"/>
  <c r="B147" i="29"/>
  <c r="B147" i="21"/>
  <c r="B147" i="9"/>
  <c r="B151" i="29"/>
  <c r="B151" i="21"/>
  <c r="B151" i="9"/>
  <c r="B155" i="29"/>
  <c r="B155" i="21"/>
  <c r="B155" i="9"/>
  <c r="B159" i="29"/>
  <c r="B159" i="21"/>
  <c r="B159" i="9"/>
  <c r="B163" i="29"/>
  <c r="B163" i="21"/>
  <c r="B163" i="9"/>
  <c r="B167" i="29"/>
  <c r="B167" i="21"/>
  <c r="B167" i="9"/>
  <c r="B171" i="29"/>
  <c r="B171" i="21"/>
  <c r="B171" i="9"/>
  <c r="B175" i="29"/>
  <c r="B175" i="21"/>
  <c r="B175" i="9"/>
  <c r="B179" i="29"/>
  <c r="B179" i="21"/>
  <c r="B179" i="9"/>
  <c r="B183" i="21"/>
  <c r="B183" i="9"/>
  <c r="B183" i="29"/>
  <c r="B187" i="29"/>
  <c r="B187" i="21"/>
  <c r="B187" i="9"/>
  <c r="B191" i="29"/>
  <c r="B191" i="21"/>
  <c r="B191" i="9"/>
  <c r="B195" i="29"/>
  <c r="B195" i="21"/>
  <c r="B195" i="9"/>
  <c r="B199" i="29"/>
  <c r="B199" i="21"/>
  <c r="B199" i="9"/>
  <c r="B203" i="29"/>
  <c r="B203" i="21"/>
  <c r="B203" i="9"/>
  <c r="B207" i="29"/>
  <c r="B207" i="21"/>
  <c r="B207" i="9"/>
  <c r="B211" i="29"/>
  <c r="B211" i="21"/>
  <c r="B211" i="9"/>
  <c r="B215" i="29"/>
  <c r="B215" i="21"/>
  <c r="B215" i="9"/>
  <c r="B219" i="29"/>
  <c r="B219" i="21"/>
  <c r="B219" i="9"/>
  <c r="B223" i="21"/>
  <c r="B223" i="29"/>
  <c r="B223" i="9"/>
  <c r="B227" i="29"/>
  <c r="B227" i="21"/>
  <c r="B227" i="9"/>
  <c r="B231" i="29"/>
  <c r="B231" i="21"/>
  <c r="B231" i="9"/>
  <c r="B235" i="29"/>
  <c r="B235" i="21"/>
  <c r="B235" i="9"/>
  <c r="B239" i="21"/>
  <c r="B239" i="29"/>
  <c r="B239" i="9"/>
  <c r="B243" i="29"/>
  <c r="B243" i="21"/>
  <c r="B243" i="9"/>
  <c r="B247" i="21"/>
  <c r="B247" i="29"/>
  <c r="B247" i="9"/>
  <c r="B251" i="29"/>
  <c r="B251" i="21"/>
  <c r="B251" i="9"/>
  <c r="B255" i="29"/>
  <c r="B255" i="21"/>
  <c r="B255" i="9"/>
  <c r="B259" i="29"/>
  <c r="B259" i="21"/>
  <c r="B259" i="9"/>
  <c r="B263" i="29"/>
  <c r="B263" i="21"/>
  <c r="B263" i="9"/>
  <c r="B267" i="29"/>
  <c r="B267" i="21"/>
  <c r="B267" i="9"/>
  <c r="B271" i="29"/>
  <c r="B271" i="21"/>
  <c r="B271" i="9"/>
  <c r="B275" i="29"/>
  <c r="B275" i="21"/>
  <c r="B275" i="9"/>
  <c r="B279" i="29"/>
  <c r="B279" i="21"/>
  <c r="B279" i="9"/>
  <c r="B283" i="29"/>
  <c r="B283" i="21"/>
  <c r="B283" i="9"/>
  <c r="B287" i="21"/>
  <c r="B287" i="29"/>
  <c r="B287" i="9"/>
  <c r="B291" i="29"/>
  <c r="B291" i="21"/>
  <c r="B291" i="9"/>
  <c r="B295" i="29"/>
  <c r="B295" i="21"/>
  <c r="B295" i="9"/>
  <c r="B299" i="29"/>
  <c r="B299" i="21"/>
  <c r="B299" i="9"/>
  <c r="B303" i="29"/>
  <c r="B303" i="21"/>
  <c r="B303" i="9"/>
  <c r="B307" i="29"/>
  <c r="B307" i="21"/>
  <c r="B307" i="9"/>
  <c r="B12" i="29"/>
  <c r="B12" i="21"/>
  <c r="B12" i="9"/>
  <c r="B10" i="29"/>
  <c r="B10" i="21"/>
  <c r="B10" i="9"/>
  <c r="B34" i="29"/>
  <c r="B34" i="21"/>
  <c r="B34" i="9"/>
  <c r="B38" i="29"/>
  <c r="B38" i="21"/>
  <c r="B38" i="9"/>
  <c r="B42" i="29"/>
  <c r="B42" i="21"/>
  <c r="B42" i="9"/>
  <c r="B46" i="29"/>
  <c r="B46" i="21"/>
  <c r="B46" i="9"/>
  <c r="B50" i="29"/>
  <c r="B50" i="21"/>
  <c r="B50" i="9"/>
  <c r="B58" i="29"/>
  <c r="B58" i="21"/>
  <c r="B58" i="9"/>
  <c r="B62" i="29"/>
  <c r="B62" i="21"/>
  <c r="B62" i="9"/>
  <c r="B82" i="29"/>
  <c r="B82" i="21"/>
  <c r="B82" i="9"/>
  <c r="B94" i="29"/>
  <c r="B94" i="21"/>
  <c r="B94" i="9"/>
  <c r="B98" i="29"/>
  <c r="B98" i="21"/>
  <c r="B98" i="9"/>
  <c r="B110" i="29"/>
  <c r="B110" i="21"/>
  <c r="B110" i="9"/>
  <c r="B114" i="29"/>
  <c r="B114" i="21"/>
  <c r="B114" i="9"/>
  <c r="B118" i="29"/>
  <c r="B118" i="21"/>
  <c r="B118" i="9"/>
  <c r="B134" i="29"/>
  <c r="B134" i="21"/>
  <c r="B134" i="9"/>
  <c r="B138" i="29"/>
  <c r="B138" i="21"/>
  <c r="B138" i="9"/>
  <c r="B154" i="29"/>
  <c r="B154" i="21"/>
  <c r="B154" i="9"/>
  <c r="B158" i="29"/>
  <c r="B158" i="21"/>
  <c r="B158" i="9"/>
  <c r="B162" i="29"/>
  <c r="B162" i="21"/>
  <c r="B162" i="9"/>
  <c r="B166" i="29"/>
  <c r="B166" i="21"/>
  <c r="B166" i="9"/>
  <c r="B174" i="29"/>
  <c r="B174" i="9"/>
  <c r="B174" i="21"/>
  <c r="B182" i="29"/>
  <c r="B182" i="9"/>
  <c r="B182" i="21"/>
  <c r="B15" i="29"/>
  <c r="B15" i="9"/>
  <c r="B15" i="21"/>
  <c r="B19" i="29"/>
  <c r="B19" i="21"/>
  <c r="B19" i="9"/>
  <c r="C11" i="29"/>
  <c r="C11" i="21"/>
  <c r="C11" i="9"/>
  <c r="A12" i="29"/>
  <c r="A12" i="21"/>
  <c r="A12" i="9"/>
  <c r="C15" i="29"/>
  <c r="C15" i="21"/>
  <c r="C15" i="9"/>
  <c r="A16" i="29"/>
  <c r="A16" i="21"/>
  <c r="A16" i="9"/>
  <c r="C19" i="29"/>
  <c r="C19" i="21"/>
  <c r="C19" i="9"/>
  <c r="A20" i="29"/>
  <c r="A20" i="21"/>
  <c r="A20" i="9"/>
  <c r="C23" i="29"/>
  <c r="C23" i="21"/>
  <c r="C23" i="9"/>
  <c r="A24" i="29"/>
  <c r="A24" i="21"/>
  <c r="A24" i="9"/>
  <c r="C27" i="29"/>
  <c r="C27" i="21"/>
  <c r="C27" i="9"/>
  <c r="A28" i="29"/>
  <c r="A28" i="21"/>
  <c r="A28" i="9"/>
  <c r="C31" i="29"/>
  <c r="C31" i="21"/>
  <c r="C31" i="9"/>
  <c r="A32" i="29"/>
  <c r="A32" i="21"/>
  <c r="A32" i="9"/>
  <c r="C35" i="29"/>
  <c r="C35" i="21"/>
  <c r="C35" i="9"/>
  <c r="A36" i="29"/>
  <c r="A36" i="21"/>
  <c r="A36" i="9"/>
  <c r="C39" i="29"/>
  <c r="C39" i="21"/>
  <c r="C39" i="9"/>
  <c r="A40" i="29"/>
  <c r="A40" i="21"/>
  <c r="A40" i="9"/>
  <c r="C43" i="29"/>
  <c r="C43" i="21"/>
  <c r="C43" i="9"/>
  <c r="A44" i="29"/>
  <c r="A44" i="21"/>
  <c r="A44" i="9"/>
  <c r="C47" i="29"/>
  <c r="C47" i="21"/>
  <c r="C47" i="9"/>
  <c r="A48" i="29"/>
  <c r="A48" i="21"/>
  <c r="A48" i="9"/>
  <c r="C51" i="29"/>
  <c r="C51" i="21"/>
  <c r="C51" i="9"/>
  <c r="A52" i="29"/>
  <c r="A52" i="21"/>
  <c r="A52" i="9"/>
  <c r="C55" i="29"/>
  <c r="C55" i="21"/>
  <c r="C55" i="9"/>
  <c r="A56" i="29"/>
  <c r="A56" i="21"/>
  <c r="A56" i="9"/>
  <c r="C59" i="29"/>
  <c r="C59" i="21"/>
  <c r="C59" i="9"/>
  <c r="A60" i="29"/>
  <c r="A60" i="21"/>
  <c r="A60" i="9"/>
  <c r="C63" i="29"/>
  <c r="C63" i="21"/>
  <c r="C63" i="9"/>
  <c r="A64" i="29"/>
  <c r="A64" i="21"/>
  <c r="A64" i="9"/>
  <c r="C67" i="29"/>
  <c r="C67" i="21"/>
  <c r="C67" i="9"/>
  <c r="A68" i="29"/>
  <c r="A68" i="21"/>
  <c r="A68" i="9"/>
  <c r="C71" i="29"/>
  <c r="C71" i="21"/>
  <c r="C71" i="9"/>
  <c r="A72" i="29"/>
  <c r="A72" i="21"/>
  <c r="A72" i="9"/>
  <c r="C75" i="29"/>
  <c r="C75" i="21"/>
  <c r="C75" i="9"/>
  <c r="A76" i="29"/>
  <c r="A76" i="21"/>
  <c r="A76" i="9"/>
  <c r="C79" i="29"/>
  <c r="C79" i="21"/>
  <c r="C79" i="9"/>
  <c r="A80" i="29"/>
  <c r="A80" i="21"/>
  <c r="A80" i="9"/>
  <c r="C83" i="29"/>
  <c r="C83" i="21"/>
  <c r="C83" i="9"/>
  <c r="A84" i="29"/>
  <c r="A84" i="21"/>
  <c r="A84" i="9"/>
  <c r="C87" i="29"/>
  <c r="C87" i="21"/>
  <c r="C87" i="9"/>
  <c r="A88" i="29"/>
  <c r="A88" i="21"/>
  <c r="A88" i="9"/>
  <c r="C91" i="29"/>
  <c r="C91" i="21"/>
  <c r="C91" i="9"/>
  <c r="A92" i="29"/>
  <c r="A92" i="21"/>
  <c r="A92" i="9"/>
  <c r="C95" i="29"/>
  <c r="C95" i="21"/>
  <c r="C95" i="9"/>
  <c r="A96" i="29"/>
  <c r="A96" i="21"/>
  <c r="A96" i="9"/>
  <c r="C99" i="29"/>
  <c r="C99" i="21"/>
  <c r="C99" i="9"/>
  <c r="A100" i="29"/>
  <c r="A100" i="21"/>
  <c r="A100" i="9"/>
  <c r="C103" i="29"/>
  <c r="C103" i="21"/>
  <c r="C103" i="9"/>
  <c r="A104" i="29"/>
  <c r="A104" i="21"/>
  <c r="A104" i="9"/>
  <c r="C107" i="29"/>
  <c r="C107" i="21"/>
  <c r="C107" i="9"/>
  <c r="A108" i="29"/>
  <c r="A108" i="21"/>
  <c r="A108" i="9"/>
  <c r="C111" i="29"/>
  <c r="C111" i="21"/>
  <c r="C111" i="9"/>
  <c r="A112" i="29"/>
  <c r="A112" i="21"/>
  <c r="A112" i="9"/>
  <c r="C115" i="29"/>
  <c r="C115" i="21"/>
  <c r="C115" i="9"/>
  <c r="A116" i="29"/>
  <c r="A116" i="9"/>
  <c r="A116" i="21"/>
  <c r="C119" i="29"/>
  <c r="C119" i="21"/>
  <c r="C119" i="9"/>
  <c r="A120" i="29"/>
  <c r="A120" i="21"/>
  <c r="A120" i="9"/>
  <c r="C123" i="29"/>
  <c r="C123" i="21"/>
  <c r="C123" i="9"/>
  <c r="A124" i="29"/>
  <c r="A124" i="21"/>
  <c r="A124" i="9"/>
  <c r="C127" i="29"/>
  <c r="C127" i="21"/>
  <c r="C127" i="9"/>
  <c r="A128" i="29"/>
  <c r="A128" i="21"/>
  <c r="A128" i="9"/>
  <c r="C131" i="29"/>
  <c r="C131" i="21"/>
  <c r="C131" i="9"/>
  <c r="A132" i="29"/>
  <c r="A132" i="9"/>
  <c r="A132" i="21"/>
  <c r="C135" i="29"/>
  <c r="C135" i="21"/>
  <c r="C135" i="9"/>
  <c r="A136" i="29"/>
  <c r="A136" i="21"/>
  <c r="A136" i="9"/>
  <c r="C139" i="29"/>
  <c r="C139" i="21"/>
  <c r="C139" i="9"/>
  <c r="A140" i="21"/>
  <c r="A140" i="9"/>
  <c r="A140" i="29"/>
  <c r="C143" i="29"/>
  <c r="C143" i="21"/>
  <c r="C143" i="9"/>
  <c r="A144" i="29"/>
  <c r="A144" i="21"/>
  <c r="A144" i="9"/>
  <c r="C147" i="29"/>
  <c r="C147" i="21"/>
  <c r="C147" i="9"/>
  <c r="A148" i="9"/>
  <c r="A148" i="21"/>
  <c r="A148" i="29"/>
  <c r="C151" i="29"/>
  <c r="C151" i="21"/>
  <c r="C151" i="9"/>
  <c r="A152" i="21"/>
  <c r="A152" i="29"/>
  <c r="A152" i="9"/>
  <c r="C155" i="29"/>
  <c r="C155" i="21"/>
  <c r="C155" i="9"/>
  <c r="A156" i="29"/>
  <c r="A156" i="21"/>
  <c r="A156" i="9"/>
  <c r="C159" i="29"/>
  <c r="C159" i="21"/>
  <c r="C159" i="9"/>
  <c r="A160" i="29"/>
  <c r="A160" i="21"/>
  <c r="A160" i="9"/>
  <c r="C163" i="29"/>
  <c r="C163" i="9"/>
  <c r="C163" i="21"/>
  <c r="A164" i="29"/>
  <c r="A164" i="21"/>
  <c r="A164" i="9"/>
  <c r="C167" i="29"/>
  <c r="C167" i="21"/>
  <c r="C167" i="9"/>
  <c r="A168" i="21"/>
  <c r="A168" i="29"/>
  <c r="A168" i="9"/>
  <c r="C171" i="29"/>
  <c r="C171" i="9"/>
  <c r="C171" i="21"/>
  <c r="A172" i="29"/>
  <c r="A172" i="21"/>
  <c r="A172" i="9"/>
  <c r="C175" i="29"/>
  <c r="C175" i="21"/>
  <c r="C175" i="9"/>
  <c r="A176" i="29"/>
  <c r="A176" i="21"/>
  <c r="A176" i="9"/>
  <c r="C179" i="29"/>
  <c r="C179" i="21"/>
  <c r="C179" i="9"/>
  <c r="A180" i="29"/>
  <c r="A180" i="21"/>
  <c r="A180" i="9"/>
  <c r="C183" i="29"/>
  <c r="C183" i="21"/>
  <c r="C183" i="9"/>
  <c r="A184" i="29"/>
  <c r="A184" i="21"/>
  <c r="A184" i="9"/>
  <c r="C187" i="29"/>
  <c r="C187" i="21"/>
  <c r="C187" i="9"/>
  <c r="A188" i="21"/>
  <c r="A188" i="9"/>
  <c r="A188" i="29"/>
  <c r="C191" i="29"/>
  <c r="C191" i="21"/>
  <c r="C191" i="9"/>
  <c r="A192" i="29"/>
  <c r="A192" i="21"/>
  <c r="A192" i="9"/>
  <c r="C195" i="29"/>
  <c r="C195" i="9"/>
  <c r="C195" i="21"/>
  <c r="A196" i="29"/>
  <c r="A196" i="21"/>
  <c r="A196" i="9"/>
  <c r="C199" i="29"/>
  <c r="C199" i="21"/>
  <c r="C199" i="9"/>
  <c r="A200" i="29"/>
  <c r="A200" i="21"/>
  <c r="A200" i="9"/>
  <c r="C203" i="29"/>
  <c r="C203" i="9"/>
  <c r="C203" i="21"/>
  <c r="A204" i="21"/>
  <c r="A204" i="9"/>
  <c r="A204" i="29"/>
  <c r="C207" i="29"/>
  <c r="C207" i="21"/>
  <c r="C207" i="9"/>
  <c r="A208" i="29"/>
  <c r="A208" i="21"/>
  <c r="A208" i="9"/>
  <c r="C211" i="29"/>
  <c r="C211" i="9"/>
  <c r="C211" i="21"/>
  <c r="A212" i="29"/>
  <c r="A212" i="21"/>
  <c r="A212" i="9"/>
  <c r="C215" i="29"/>
  <c r="C215" i="21"/>
  <c r="C215" i="9"/>
  <c r="A216" i="29"/>
  <c r="A216" i="21"/>
  <c r="A216" i="9"/>
  <c r="C219" i="29"/>
  <c r="C219" i="21"/>
  <c r="C219" i="9"/>
  <c r="A220" i="29"/>
  <c r="A220" i="21"/>
  <c r="A220" i="9"/>
  <c r="C223" i="29"/>
  <c r="C223" i="21"/>
  <c r="C223" i="9"/>
  <c r="A224" i="29"/>
  <c r="A224" i="21"/>
  <c r="A224" i="9"/>
  <c r="C227" i="29"/>
  <c r="C227" i="9"/>
  <c r="C227" i="21"/>
  <c r="A228" i="29"/>
  <c r="A228" i="21"/>
  <c r="A228" i="9"/>
  <c r="C231" i="29"/>
  <c r="C231" i="21"/>
  <c r="C231" i="9"/>
  <c r="A232" i="29"/>
  <c r="A232" i="21"/>
  <c r="A232" i="9"/>
  <c r="C235" i="29"/>
  <c r="C235" i="9"/>
  <c r="C235" i="21"/>
  <c r="A236" i="29"/>
  <c r="A236" i="21"/>
  <c r="A236" i="9"/>
  <c r="C239" i="29"/>
  <c r="C239" i="21"/>
  <c r="C239" i="9"/>
  <c r="A240" i="29"/>
  <c r="A240" i="21"/>
  <c r="A240" i="9"/>
  <c r="C243" i="29"/>
  <c r="C243" i="21"/>
  <c r="C243" i="9"/>
  <c r="A244" i="29"/>
  <c r="A244" i="21"/>
  <c r="A244" i="9"/>
  <c r="C247" i="29"/>
  <c r="C247" i="21"/>
  <c r="C247" i="9"/>
  <c r="A248" i="29"/>
  <c r="A248" i="21"/>
  <c r="A248" i="9"/>
  <c r="C251" i="29"/>
  <c r="C251" i="9"/>
  <c r="C251" i="21"/>
  <c r="A252" i="29"/>
  <c r="A252" i="21"/>
  <c r="A252" i="9"/>
  <c r="C255" i="29"/>
  <c r="C255" i="21"/>
  <c r="C255" i="9"/>
  <c r="A256" i="29"/>
  <c r="A256" i="21"/>
  <c r="A256" i="9"/>
  <c r="C259" i="29"/>
  <c r="C259" i="9"/>
  <c r="C259" i="21"/>
  <c r="A260" i="29"/>
  <c r="A260" i="21"/>
  <c r="A260" i="9"/>
  <c r="C263" i="29"/>
  <c r="C263" i="21"/>
  <c r="C263" i="9"/>
  <c r="A264" i="29"/>
  <c r="A264" i="21"/>
  <c r="A264" i="9"/>
  <c r="C267" i="29"/>
  <c r="C267" i="9"/>
  <c r="C267" i="21"/>
  <c r="A268" i="21"/>
  <c r="A268" i="9"/>
  <c r="A268" i="29"/>
  <c r="C271" i="29"/>
  <c r="C271" i="21"/>
  <c r="C271" i="9"/>
  <c r="A272" i="29"/>
  <c r="A272" i="21"/>
  <c r="A272" i="9"/>
  <c r="C275" i="29"/>
  <c r="C275" i="9"/>
  <c r="C275" i="21"/>
  <c r="A276" i="21"/>
  <c r="A276" i="29"/>
  <c r="A276" i="9"/>
  <c r="C279" i="29"/>
  <c r="C279" i="21"/>
  <c r="C279" i="9"/>
  <c r="A280" i="29"/>
  <c r="A280" i="21"/>
  <c r="A280" i="9"/>
  <c r="C283" i="29"/>
  <c r="C283" i="21"/>
  <c r="C283" i="9"/>
  <c r="A284" i="29"/>
  <c r="A284" i="21"/>
  <c r="A284" i="9"/>
  <c r="C287" i="29"/>
  <c r="C287" i="21"/>
  <c r="C287" i="9"/>
  <c r="A288" i="29"/>
  <c r="A288" i="21"/>
  <c r="A288" i="9"/>
  <c r="C291" i="29"/>
  <c r="C291" i="9"/>
  <c r="C291" i="21"/>
  <c r="A292" i="29"/>
  <c r="A292" i="21"/>
  <c r="A292" i="9"/>
  <c r="C295" i="29"/>
  <c r="C295" i="21"/>
  <c r="C295" i="9"/>
  <c r="A296" i="29"/>
  <c r="A296" i="21"/>
  <c r="A296" i="9"/>
  <c r="C299" i="29"/>
  <c r="C299" i="9"/>
  <c r="C299" i="21"/>
  <c r="A300" i="21"/>
  <c r="A300" i="9"/>
  <c r="A300" i="29"/>
  <c r="C303" i="29"/>
  <c r="C303" i="21"/>
  <c r="C303" i="9"/>
  <c r="A304" i="29"/>
  <c r="A304" i="21"/>
  <c r="A304" i="9"/>
  <c r="C307" i="29"/>
  <c r="C307" i="21"/>
  <c r="C307" i="9"/>
  <c r="F307" i="9" s="1"/>
  <c r="D8" i="2"/>
  <c r="C9" i="2"/>
  <c r="C9" i="4"/>
  <c r="C9" i="3"/>
  <c r="A10" i="2"/>
  <c r="A10" i="4"/>
  <c r="A10" i="3"/>
  <c r="C13" i="2"/>
  <c r="C13" i="4"/>
  <c r="C13" i="3"/>
  <c r="A14" i="2"/>
  <c r="A14" i="4"/>
  <c r="A14" i="3"/>
  <c r="C17" i="2"/>
  <c r="C17" i="4"/>
  <c r="C17" i="3"/>
  <c r="A18" i="2"/>
  <c r="A18" i="4"/>
  <c r="A18" i="3"/>
  <c r="C21" i="2"/>
  <c r="C21" i="4"/>
  <c r="C21" i="3"/>
  <c r="A22" i="2"/>
  <c r="A22" i="4"/>
  <c r="A22" i="3"/>
  <c r="C25" i="2"/>
  <c r="C25" i="4"/>
  <c r="C25" i="3"/>
  <c r="A26" i="2"/>
  <c r="A26" i="4"/>
  <c r="A26" i="3"/>
  <c r="C29" i="2"/>
  <c r="C29" i="4"/>
  <c r="C29" i="3"/>
  <c r="A30" i="2"/>
  <c r="A30" i="4"/>
  <c r="A30" i="3"/>
  <c r="C33" i="2"/>
  <c r="C33" i="4"/>
  <c r="C33" i="3"/>
  <c r="A34" i="2"/>
  <c r="A34" i="4"/>
  <c r="A34" i="3"/>
  <c r="C37" i="2"/>
  <c r="C37" i="4"/>
  <c r="C37" i="3"/>
  <c r="A38" i="2"/>
  <c r="A38" i="4"/>
  <c r="A38" i="3"/>
  <c r="C41" i="2"/>
  <c r="C41" i="4"/>
  <c r="C41" i="3"/>
  <c r="A42" i="2"/>
  <c r="A42" i="4"/>
  <c r="A42" i="3"/>
  <c r="C45" i="2"/>
  <c r="C45" i="4"/>
  <c r="C45" i="3"/>
  <c r="A46" i="2"/>
  <c r="A46" i="4"/>
  <c r="A46" i="3"/>
  <c r="C49" i="2"/>
  <c r="C49" i="4"/>
  <c r="C49" i="3"/>
  <c r="A50" i="2"/>
  <c r="A50" i="4"/>
  <c r="A50" i="3"/>
  <c r="C53" i="2"/>
  <c r="C53" i="4"/>
  <c r="C53" i="3"/>
  <c r="A54" i="2"/>
  <c r="A54" i="4"/>
  <c r="A54" i="3"/>
  <c r="C57" i="2"/>
  <c r="C57" i="4"/>
  <c r="C57" i="3"/>
  <c r="A58" i="2"/>
  <c r="A58" i="4"/>
  <c r="A58" i="3"/>
  <c r="C61" i="2"/>
  <c r="C61" i="4"/>
  <c r="C61" i="3"/>
  <c r="A62" i="2"/>
  <c r="A62" i="4"/>
  <c r="A62" i="3"/>
  <c r="C65" i="2"/>
  <c r="C65" i="4"/>
  <c r="C65" i="3"/>
  <c r="A66" i="2"/>
  <c r="A66" i="4"/>
  <c r="A66" i="3"/>
  <c r="C69" i="2"/>
  <c r="C69" i="4"/>
  <c r="C69" i="3"/>
  <c r="A70" i="2"/>
  <c r="A70" i="4"/>
  <c r="A70" i="3"/>
  <c r="C73" i="2"/>
  <c r="C73" i="4"/>
  <c r="C73" i="3"/>
  <c r="A74" i="2"/>
  <c r="A74" i="4"/>
  <c r="A74" i="3"/>
  <c r="C77" i="2"/>
  <c r="C77" i="4"/>
  <c r="C77" i="3"/>
  <c r="A78" i="2"/>
  <c r="A78" i="4"/>
  <c r="A78" i="3"/>
  <c r="C81" i="2"/>
  <c r="C81" i="4"/>
  <c r="C81" i="3"/>
  <c r="A82" i="2"/>
  <c r="A82" i="4"/>
  <c r="A82" i="3"/>
  <c r="C85" i="2"/>
  <c r="C85" i="4"/>
  <c r="C85" i="3"/>
  <c r="A86" i="2"/>
  <c r="A86" i="4"/>
  <c r="A86" i="3"/>
  <c r="C89" i="2"/>
  <c r="C89" i="4"/>
  <c r="C89" i="3"/>
  <c r="A90" i="2"/>
  <c r="A90" i="4"/>
  <c r="A90" i="3"/>
  <c r="C93" i="2"/>
  <c r="C93" i="4"/>
  <c r="C93" i="3"/>
  <c r="A94" i="2"/>
  <c r="A94" i="4"/>
  <c r="A94" i="3"/>
  <c r="C97" i="2"/>
  <c r="C97" i="4"/>
  <c r="C97" i="3"/>
  <c r="A98" i="2"/>
  <c r="A98" i="4"/>
  <c r="A98" i="3"/>
  <c r="C101" i="2"/>
  <c r="C101" i="4"/>
  <c r="C101" i="3"/>
  <c r="A102" i="2"/>
  <c r="A102" i="4"/>
  <c r="A102" i="3"/>
  <c r="C105" i="2"/>
  <c r="C105" i="4"/>
  <c r="C105" i="3"/>
  <c r="A106" i="2"/>
  <c r="A106" i="4"/>
  <c r="A106" i="3"/>
  <c r="C109" i="2"/>
  <c r="C109" i="4"/>
  <c r="C109" i="3"/>
  <c r="A110" i="2"/>
  <c r="A110" i="4"/>
  <c r="A110" i="3"/>
  <c r="C113" i="2"/>
  <c r="C113" i="4"/>
  <c r="C113" i="3"/>
  <c r="A114" i="2"/>
  <c r="A114" i="4"/>
  <c r="A114" i="3"/>
  <c r="C117" i="2"/>
  <c r="C117" i="4"/>
  <c r="C117" i="3"/>
  <c r="A118" i="2"/>
  <c r="A118" i="4"/>
  <c r="A118" i="3"/>
  <c r="C121" i="2"/>
  <c r="C121" i="4"/>
  <c r="C121" i="3"/>
  <c r="A122" i="2"/>
  <c r="A122" i="4"/>
  <c r="A122" i="3"/>
  <c r="C125" i="2"/>
  <c r="C125" i="4"/>
  <c r="C125" i="3"/>
  <c r="A126" i="2"/>
  <c r="A126" i="4"/>
  <c r="A126" i="3"/>
  <c r="C129" i="2"/>
  <c r="C129" i="4"/>
  <c r="C129" i="3"/>
  <c r="A130" i="2"/>
  <c r="A130" i="4"/>
  <c r="A130" i="3"/>
  <c r="C133" i="2"/>
  <c r="C133" i="4"/>
  <c r="C133" i="3"/>
  <c r="A134" i="2"/>
  <c r="A134" i="4"/>
  <c r="A134" i="3"/>
  <c r="C137" i="2"/>
  <c r="C137" i="4"/>
  <c r="C137" i="3"/>
  <c r="A138" i="2"/>
  <c r="A138" i="4"/>
  <c r="A138" i="3"/>
  <c r="C141" i="2"/>
  <c r="C141" i="4"/>
  <c r="C141" i="3"/>
  <c r="A142" i="2"/>
  <c r="A142" i="4"/>
  <c r="A142" i="3"/>
  <c r="C145" i="2"/>
  <c r="C145" i="4"/>
  <c r="C145" i="3"/>
  <c r="A146" i="2"/>
  <c r="A146" i="4"/>
  <c r="A146" i="3"/>
  <c r="C149" i="2"/>
  <c r="C149" i="4"/>
  <c r="C149" i="3"/>
  <c r="A150" i="2"/>
  <c r="A150" i="4"/>
  <c r="A150" i="3"/>
  <c r="C153" i="2"/>
  <c r="C153" i="4"/>
  <c r="C153" i="3"/>
  <c r="A154" i="2"/>
  <c r="A154" i="4"/>
  <c r="A154" i="3"/>
  <c r="C157" i="2"/>
  <c r="C157" i="4"/>
  <c r="C157" i="3"/>
  <c r="A158" i="2"/>
  <c r="A158" i="4"/>
  <c r="A158" i="3"/>
  <c r="C161" i="2"/>
  <c r="C161" i="4"/>
  <c r="C161" i="3"/>
  <c r="A162" i="2"/>
  <c r="A162" i="4"/>
  <c r="A162" i="3"/>
  <c r="C165" i="2"/>
  <c r="C165" i="4"/>
  <c r="C165" i="3"/>
  <c r="A166" i="2"/>
  <c r="A166" i="4"/>
  <c r="A166" i="3"/>
  <c r="C169" i="2"/>
  <c r="C169" i="4"/>
  <c r="C169" i="3"/>
  <c r="A170" i="2"/>
  <c r="A170" i="4"/>
  <c r="A170" i="3"/>
  <c r="C173" i="2"/>
  <c r="C173" i="4"/>
  <c r="C173" i="3"/>
  <c r="A174" i="2"/>
  <c r="A174" i="4"/>
  <c r="A174" i="3"/>
  <c r="C177" i="2"/>
  <c r="C177" i="4"/>
  <c r="C177" i="3"/>
  <c r="A178" i="2"/>
  <c r="A178" i="4"/>
  <c r="A178" i="3"/>
  <c r="C181" i="2"/>
  <c r="C181" i="4"/>
  <c r="C181" i="3"/>
  <c r="A182" i="2"/>
  <c r="A182" i="4"/>
  <c r="A182" i="3"/>
  <c r="C185" i="2"/>
  <c r="C185" i="4"/>
  <c r="C185" i="3"/>
  <c r="A186" i="2"/>
  <c r="A186" i="4"/>
  <c r="A186" i="3"/>
  <c r="C189" i="2"/>
  <c r="C189" i="4"/>
  <c r="C189" i="3"/>
  <c r="A190" i="2"/>
  <c r="A190" i="4"/>
  <c r="A190" i="3"/>
  <c r="C193" i="2"/>
  <c r="C193" i="4"/>
  <c r="C193" i="3"/>
  <c r="A194" i="2"/>
  <c r="A194" i="4"/>
  <c r="A194" i="3"/>
  <c r="C197" i="2"/>
  <c r="C197" i="4"/>
  <c r="C197" i="3"/>
  <c r="A198" i="2"/>
  <c r="A198" i="4"/>
  <c r="A198" i="3"/>
  <c r="C201" i="2"/>
  <c r="C201" i="4"/>
  <c r="C201" i="3"/>
  <c r="A202" i="2"/>
  <c r="A202" i="4"/>
  <c r="A202" i="3"/>
  <c r="C205" i="2"/>
  <c r="C205" i="4"/>
  <c r="C205" i="3"/>
  <c r="A206" i="2"/>
  <c r="A206" i="4"/>
  <c r="A206" i="3"/>
  <c r="C209" i="2"/>
  <c r="C209" i="4"/>
  <c r="C209" i="3"/>
  <c r="A210" i="2"/>
  <c r="A210" i="4"/>
  <c r="A210" i="3"/>
  <c r="C213" i="2"/>
  <c r="C213" i="4"/>
  <c r="C213" i="3"/>
  <c r="A214" i="2"/>
  <c r="A214" i="4"/>
  <c r="A214" i="3"/>
  <c r="C217" i="2"/>
  <c r="C217" i="4"/>
  <c r="C217" i="3"/>
  <c r="A218" i="2"/>
  <c r="A218" i="4"/>
  <c r="A218" i="3"/>
  <c r="C221" i="2"/>
  <c r="C221" i="4"/>
  <c r="C221" i="3"/>
  <c r="A222" i="2"/>
  <c r="A222" i="4"/>
  <c r="A222" i="3"/>
  <c r="C225" i="2"/>
  <c r="C225" i="4"/>
  <c r="C225" i="3"/>
  <c r="A226" i="2"/>
  <c r="A226" i="4"/>
  <c r="A226" i="3"/>
  <c r="C229" i="2"/>
  <c r="C229" i="4"/>
  <c r="C229" i="3"/>
  <c r="A230" i="2"/>
  <c r="A230" i="4"/>
  <c r="A230" i="3"/>
  <c r="C233" i="2"/>
  <c r="C233" i="4"/>
  <c r="C233" i="3"/>
  <c r="A234" i="2"/>
  <c r="A234" i="4"/>
  <c r="A234" i="3"/>
  <c r="C237" i="2"/>
  <c r="C237" i="4"/>
  <c r="C237" i="3"/>
  <c r="A238" i="2"/>
  <c r="A238" i="4"/>
  <c r="A238" i="3"/>
  <c r="C241" i="2"/>
  <c r="C241" i="4"/>
  <c r="C241" i="3"/>
  <c r="A242" i="2"/>
  <c r="A242" i="4"/>
  <c r="A242" i="3"/>
  <c r="C245" i="2"/>
  <c r="C245" i="4"/>
  <c r="C245" i="3"/>
  <c r="A246" i="2"/>
  <c r="A246" i="4"/>
  <c r="A246" i="3"/>
  <c r="C249" i="2"/>
  <c r="C249" i="4"/>
  <c r="C249" i="3"/>
  <c r="A250" i="2"/>
  <c r="A250" i="4"/>
  <c r="A250" i="3"/>
  <c r="C253" i="2"/>
  <c r="C253" i="4"/>
  <c r="C253" i="3"/>
  <c r="A254" i="2"/>
  <c r="A254" i="4"/>
  <c r="A254" i="3"/>
  <c r="C257" i="2"/>
  <c r="C257" i="4"/>
  <c r="C257" i="3"/>
  <c r="A258" i="2"/>
  <c r="A258" i="4"/>
  <c r="A258" i="3"/>
  <c r="C261" i="2"/>
  <c r="C261" i="4"/>
  <c r="C261" i="3"/>
  <c r="A262" i="2"/>
  <c r="A262" i="4"/>
  <c r="A262" i="3"/>
  <c r="C265" i="2"/>
  <c r="C265" i="4"/>
  <c r="C265" i="3"/>
  <c r="A266" i="2"/>
  <c r="A266" i="4"/>
  <c r="A266" i="3"/>
  <c r="C269" i="2"/>
  <c r="C269" i="4"/>
  <c r="C269" i="3"/>
  <c r="A270" i="2"/>
  <c r="A270" i="4"/>
  <c r="A270" i="3"/>
  <c r="C273" i="2"/>
  <c r="C273" i="4"/>
  <c r="C273" i="3"/>
  <c r="A274" i="2"/>
  <c r="A274" i="4"/>
  <c r="A274" i="3"/>
  <c r="C277" i="2"/>
  <c r="C277" i="4"/>
  <c r="C277" i="3"/>
  <c r="A278" i="2"/>
  <c r="A278" i="4"/>
  <c r="A278" i="3"/>
  <c r="C281" i="2"/>
  <c r="C281" i="4"/>
  <c r="C281" i="3"/>
  <c r="A282" i="2"/>
  <c r="A282" i="4"/>
  <c r="A282" i="3"/>
  <c r="C285" i="2"/>
  <c r="C285" i="4"/>
  <c r="C285" i="3"/>
  <c r="A286" i="2"/>
  <c r="A286" i="4"/>
  <c r="A286" i="3"/>
  <c r="C289" i="2"/>
  <c r="C289" i="4"/>
  <c r="C289" i="3"/>
  <c r="A290" i="2"/>
  <c r="A290" i="4"/>
  <c r="A290" i="3"/>
  <c r="C293" i="2"/>
  <c r="C293" i="4"/>
  <c r="C293" i="3"/>
  <c r="A294" i="2"/>
  <c r="A294" i="4"/>
  <c r="A294" i="3"/>
  <c r="C297" i="2"/>
  <c r="C297" i="4"/>
  <c r="C297" i="3"/>
  <c r="A298" i="2"/>
  <c r="A298" i="4"/>
  <c r="A298" i="3"/>
  <c r="C301" i="2"/>
  <c r="C301" i="4"/>
  <c r="C301" i="3"/>
  <c r="A302" i="2"/>
  <c r="A302" i="4"/>
  <c r="A302" i="3"/>
  <c r="C305" i="2"/>
  <c r="C305" i="4"/>
  <c r="C305" i="3"/>
  <c r="A306" i="2"/>
  <c r="A306" i="4"/>
  <c r="A306" i="3"/>
  <c r="D9" i="2"/>
  <c r="B10" i="2"/>
  <c r="B10" i="4"/>
  <c r="B10" i="3"/>
  <c r="D13" i="2"/>
  <c r="B14" i="2"/>
  <c r="B14" i="4"/>
  <c r="B14" i="3"/>
  <c r="D17" i="2"/>
  <c r="B18" i="2"/>
  <c r="B18" i="4"/>
  <c r="B18" i="3"/>
  <c r="D21" i="2"/>
  <c r="B22" i="2"/>
  <c r="B22" i="4"/>
  <c r="B22" i="3"/>
  <c r="D25" i="2"/>
  <c r="B26" i="2"/>
  <c r="B26" i="4"/>
  <c r="B26" i="3"/>
  <c r="D29" i="2"/>
  <c r="B30" i="2"/>
  <c r="B30" i="4"/>
  <c r="B30" i="3"/>
  <c r="D33" i="2"/>
  <c r="B34" i="2"/>
  <c r="B34" i="4"/>
  <c r="B34" i="3"/>
  <c r="D37" i="2"/>
  <c r="B38" i="2"/>
  <c r="B38" i="4"/>
  <c r="B38" i="3"/>
  <c r="D41" i="2"/>
  <c r="B42" i="2"/>
  <c r="B42" i="4"/>
  <c r="B42" i="3"/>
  <c r="D45" i="2"/>
  <c r="B46" i="2"/>
  <c r="B46" i="4"/>
  <c r="B46" i="3"/>
  <c r="D49" i="2"/>
  <c r="B50" i="2"/>
  <c r="B50" i="4"/>
  <c r="B50" i="3"/>
  <c r="D53" i="2"/>
  <c r="B54" i="2"/>
  <c r="B54" i="4"/>
  <c r="B54" i="3"/>
  <c r="D57" i="2"/>
  <c r="B58" i="2"/>
  <c r="B58" i="4"/>
  <c r="B58" i="3"/>
  <c r="D61" i="2"/>
  <c r="B62" i="2"/>
  <c r="B62" i="4"/>
  <c r="B62" i="3"/>
  <c r="D65" i="2"/>
  <c r="B66" i="2"/>
  <c r="B66" i="4"/>
  <c r="B66" i="3"/>
  <c r="D69" i="2"/>
  <c r="B70" i="2"/>
  <c r="B70" i="4"/>
  <c r="B70" i="3"/>
  <c r="D73" i="2"/>
  <c r="B74" i="2"/>
  <c r="B74" i="4"/>
  <c r="B74" i="3"/>
  <c r="D77" i="2"/>
  <c r="B78" i="2"/>
  <c r="B78" i="4"/>
  <c r="B78" i="3"/>
  <c r="D81" i="2"/>
  <c r="B82" i="2"/>
  <c r="B82" i="4"/>
  <c r="B82" i="3"/>
  <c r="D85" i="2"/>
  <c r="B86" i="2"/>
  <c r="B86" i="4"/>
  <c r="B86" i="3"/>
  <c r="D89" i="2"/>
  <c r="B90" i="2"/>
  <c r="B90" i="4"/>
  <c r="B90" i="3"/>
  <c r="D93" i="2"/>
  <c r="B94" i="2"/>
  <c r="B94" i="4"/>
  <c r="B94" i="3"/>
  <c r="D97" i="2"/>
  <c r="B98" i="2"/>
  <c r="B98" i="4"/>
  <c r="B98" i="3"/>
  <c r="D101" i="2"/>
  <c r="B102" i="2"/>
  <c r="B102" i="4"/>
  <c r="B102" i="3"/>
  <c r="D105" i="2"/>
  <c r="B106" i="2"/>
  <c r="B106" i="4"/>
  <c r="B106" i="3"/>
  <c r="D109" i="2"/>
  <c r="B110" i="2"/>
  <c r="B110" i="4"/>
  <c r="B110" i="3"/>
  <c r="D113" i="2"/>
  <c r="B114" i="2"/>
  <c r="B114" i="4"/>
  <c r="B114" i="3"/>
  <c r="D117" i="2"/>
  <c r="B118" i="2"/>
  <c r="B118" i="4"/>
  <c r="B118" i="3"/>
  <c r="D121" i="2"/>
  <c r="B122" i="2"/>
  <c r="B122" i="4"/>
  <c r="B122" i="3"/>
  <c r="D125" i="2"/>
  <c r="B126" i="2"/>
  <c r="B126" i="4"/>
  <c r="B126" i="3"/>
  <c r="D129" i="2"/>
  <c r="B130" i="2"/>
  <c r="B130" i="4"/>
  <c r="B130" i="3"/>
  <c r="D133" i="2"/>
  <c r="B134" i="2"/>
  <c r="B134" i="4"/>
  <c r="B134" i="3"/>
  <c r="D137" i="2"/>
  <c r="B138" i="2"/>
  <c r="B138" i="4"/>
  <c r="B138" i="3"/>
  <c r="D141" i="2"/>
  <c r="B142" i="2"/>
  <c r="B142" i="4"/>
  <c r="B142" i="3"/>
  <c r="D145" i="2"/>
  <c r="B146" i="2"/>
  <c r="B146" i="4"/>
  <c r="B146" i="3"/>
  <c r="D149" i="2"/>
  <c r="B150" i="2"/>
  <c r="B150" i="4"/>
  <c r="B150" i="3"/>
  <c r="D153" i="2"/>
  <c r="B154" i="2"/>
  <c r="B154" i="4"/>
  <c r="B154" i="3"/>
  <c r="D157" i="2"/>
  <c r="B158" i="2"/>
  <c r="B158" i="4"/>
  <c r="B158" i="3"/>
  <c r="D161" i="2"/>
  <c r="B162" i="2"/>
  <c r="B162" i="4"/>
  <c r="B162" i="3"/>
  <c r="D165" i="2"/>
  <c r="B166" i="2"/>
  <c r="B166" i="4"/>
  <c r="B166" i="3"/>
  <c r="D169" i="2"/>
  <c r="B170" i="2"/>
  <c r="B170" i="4"/>
  <c r="B170" i="3"/>
  <c r="D173" i="2"/>
  <c r="B174" i="2"/>
  <c r="B174" i="4"/>
  <c r="B174" i="3"/>
  <c r="D177" i="2"/>
  <c r="B178" i="2"/>
  <c r="B178" i="4"/>
  <c r="B178" i="3"/>
  <c r="D181" i="2"/>
  <c r="B182" i="2"/>
  <c r="B182" i="4"/>
  <c r="B182" i="3"/>
  <c r="D185" i="2"/>
  <c r="B186" i="2"/>
  <c r="B186" i="4"/>
  <c r="B186" i="3"/>
  <c r="D189" i="2"/>
  <c r="B190" i="2"/>
  <c r="B190" i="4"/>
  <c r="B190" i="3"/>
  <c r="D193" i="2"/>
  <c r="B194" i="2"/>
  <c r="B194" i="4"/>
  <c r="B194" i="3"/>
  <c r="D197" i="2"/>
  <c r="B198" i="2"/>
  <c r="B198" i="4"/>
  <c r="B198" i="3"/>
  <c r="D201" i="2"/>
  <c r="B202" i="2"/>
  <c r="B202" i="4"/>
  <c r="B202" i="3"/>
  <c r="D205" i="2"/>
  <c r="B206" i="2"/>
  <c r="B206" i="4"/>
  <c r="B206" i="3"/>
  <c r="D209" i="2"/>
  <c r="B210" i="2"/>
  <c r="B210" i="4"/>
  <c r="B210" i="3"/>
  <c r="D213" i="2"/>
  <c r="B214" i="2"/>
  <c r="B214" i="4"/>
  <c r="B214" i="3"/>
  <c r="D217" i="2"/>
  <c r="B218" i="2"/>
  <c r="B218" i="4"/>
  <c r="B218" i="3"/>
  <c r="D221" i="2"/>
  <c r="B222" i="2"/>
  <c r="B222" i="4"/>
  <c r="B222" i="3"/>
  <c r="D225" i="2"/>
  <c r="B226" i="2"/>
  <c r="B226" i="4"/>
  <c r="B226" i="3"/>
  <c r="D229" i="2"/>
  <c r="B230" i="2"/>
  <c r="B230" i="4"/>
  <c r="B230" i="3"/>
  <c r="D233" i="2"/>
  <c r="B234" i="2"/>
  <c r="B234" i="4"/>
  <c r="B234" i="3"/>
  <c r="D237" i="2"/>
  <c r="B238" i="2"/>
  <c r="B238" i="4"/>
  <c r="B238" i="3"/>
  <c r="D241" i="2"/>
  <c r="B242" i="2"/>
  <c r="B242" i="4"/>
  <c r="B242" i="3"/>
  <c r="D245" i="2"/>
  <c r="B246" i="2"/>
  <c r="B246" i="4"/>
  <c r="B246" i="3"/>
  <c r="D249" i="2"/>
  <c r="B250" i="2"/>
  <c r="B250" i="4"/>
  <c r="B250" i="3"/>
  <c r="D253" i="2"/>
  <c r="B254" i="2"/>
  <c r="B254" i="4"/>
  <c r="B254" i="3"/>
  <c r="D257" i="2"/>
  <c r="B258" i="2"/>
  <c r="B258" i="4"/>
  <c r="B258" i="3"/>
  <c r="D261" i="2"/>
  <c r="B262" i="2"/>
  <c r="B262" i="4"/>
  <c r="B262" i="3"/>
  <c r="D265" i="2"/>
  <c r="B266" i="2"/>
  <c r="B266" i="4"/>
  <c r="B266" i="3"/>
  <c r="D269" i="2"/>
  <c r="B270" i="2"/>
  <c r="B270" i="4"/>
  <c r="B270" i="3"/>
  <c r="D273" i="2"/>
  <c r="B274" i="2"/>
  <c r="B274" i="4"/>
  <c r="B274" i="3"/>
  <c r="D277" i="2"/>
  <c r="B278" i="2"/>
  <c r="B278" i="4"/>
  <c r="B278" i="3"/>
  <c r="D281" i="2"/>
  <c r="B282" i="2"/>
  <c r="B282" i="4"/>
  <c r="B282" i="3"/>
  <c r="D285" i="2"/>
  <c r="B286" i="2"/>
  <c r="B286" i="4"/>
  <c r="B286" i="3"/>
  <c r="D289" i="2"/>
  <c r="B290" i="2"/>
  <c r="B290" i="4"/>
  <c r="B290" i="3"/>
  <c r="D293" i="2"/>
  <c r="B294" i="2"/>
  <c r="B294" i="4"/>
  <c r="B294" i="3"/>
  <c r="D297" i="2"/>
  <c r="B298" i="2"/>
  <c r="B298" i="4"/>
  <c r="B298" i="3"/>
  <c r="D301" i="2"/>
  <c r="B302" i="2"/>
  <c r="B302" i="4"/>
  <c r="B302" i="3"/>
  <c r="D305" i="2"/>
  <c r="B306" i="2"/>
  <c r="B306" i="4"/>
  <c r="B306" i="3"/>
  <c r="C10" i="2"/>
  <c r="C10" i="4"/>
  <c r="C10" i="3"/>
  <c r="A11" i="2"/>
  <c r="A11" i="4"/>
  <c r="A11" i="3"/>
  <c r="C14" i="2"/>
  <c r="C14" i="4"/>
  <c r="C14" i="3"/>
  <c r="A15" i="2"/>
  <c r="A15" i="4"/>
  <c r="A15" i="3"/>
  <c r="C18" i="2"/>
  <c r="C18" i="4"/>
  <c r="C18" i="3"/>
  <c r="A19" i="2"/>
  <c r="A19" i="4"/>
  <c r="A19" i="3"/>
  <c r="C22" i="2"/>
  <c r="C22" i="4"/>
  <c r="C22" i="3"/>
  <c r="A23" i="2"/>
  <c r="A23" i="4"/>
  <c r="A23" i="3"/>
  <c r="C26" i="2"/>
  <c r="C26" i="4"/>
  <c r="C26" i="3"/>
  <c r="A27" i="2"/>
  <c r="A27" i="4"/>
  <c r="A27" i="3"/>
  <c r="C30" i="2"/>
  <c r="C30" i="4"/>
  <c r="C30" i="3"/>
  <c r="A31" i="2"/>
  <c r="A31" i="4"/>
  <c r="A31" i="3"/>
  <c r="C34" i="2"/>
  <c r="C34" i="4"/>
  <c r="C34" i="3"/>
  <c r="A35" i="2"/>
  <c r="A35" i="4"/>
  <c r="A35" i="3"/>
  <c r="C38" i="2"/>
  <c r="C38" i="4"/>
  <c r="C38" i="3"/>
  <c r="A39" i="2"/>
  <c r="A39" i="4"/>
  <c r="A39" i="3"/>
  <c r="C42" i="2"/>
  <c r="C42" i="4"/>
  <c r="C42" i="3"/>
  <c r="A43" i="2"/>
  <c r="A43" i="4"/>
  <c r="A43" i="3"/>
  <c r="C46" i="2"/>
  <c r="C46" i="4"/>
  <c r="C46" i="3"/>
  <c r="A47" i="2"/>
  <c r="A47" i="4"/>
  <c r="A47" i="3"/>
  <c r="C50" i="2"/>
  <c r="C50" i="4"/>
  <c r="C50" i="3"/>
  <c r="A51" i="2"/>
  <c r="A51" i="4"/>
  <c r="A51" i="3"/>
  <c r="C54" i="2"/>
  <c r="C54" i="4"/>
  <c r="C54" i="3"/>
  <c r="A55" i="2"/>
  <c r="A55" i="4"/>
  <c r="A55" i="3"/>
  <c r="C58" i="2"/>
  <c r="C58" i="4"/>
  <c r="C58" i="3"/>
  <c r="A59" i="2"/>
  <c r="A59" i="4"/>
  <c r="A59" i="3"/>
  <c r="C62" i="2"/>
  <c r="C62" i="4"/>
  <c r="C62" i="3"/>
  <c r="A63" i="2"/>
  <c r="A63" i="4"/>
  <c r="A63" i="3"/>
  <c r="C66" i="2"/>
  <c r="C66" i="4"/>
  <c r="C66" i="3"/>
  <c r="A67" i="2"/>
  <c r="A67" i="4"/>
  <c r="A67" i="3"/>
  <c r="C70" i="2"/>
  <c r="C70" i="4"/>
  <c r="C70" i="3"/>
  <c r="A71" i="2"/>
  <c r="A71" i="4"/>
  <c r="A71" i="3"/>
  <c r="C74" i="2"/>
  <c r="C74" i="4"/>
  <c r="C74" i="3"/>
  <c r="A75" i="2"/>
  <c r="A75" i="4"/>
  <c r="A75" i="3"/>
  <c r="C78" i="2"/>
  <c r="C78" i="4"/>
  <c r="C78" i="3"/>
  <c r="A79" i="2"/>
  <c r="A79" i="4"/>
  <c r="A79" i="3"/>
  <c r="C82" i="2"/>
  <c r="C82" i="4"/>
  <c r="C82" i="3"/>
  <c r="A83" i="2"/>
  <c r="A83" i="4"/>
  <c r="A83" i="3"/>
  <c r="C86" i="2"/>
  <c r="C86" i="4"/>
  <c r="C86" i="3"/>
  <c r="A87" i="2"/>
  <c r="A87" i="4"/>
  <c r="A87" i="3"/>
  <c r="C90" i="2"/>
  <c r="C90" i="4"/>
  <c r="C90" i="3"/>
  <c r="A91" i="2"/>
  <c r="A91" i="4"/>
  <c r="A91" i="3"/>
  <c r="C94" i="2"/>
  <c r="C94" i="4"/>
  <c r="C94" i="3"/>
  <c r="A95" i="2"/>
  <c r="A95" i="4"/>
  <c r="A95" i="3"/>
  <c r="C98" i="2"/>
  <c r="C98" i="4"/>
  <c r="C98" i="3"/>
  <c r="A99" i="2"/>
  <c r="A99" i="4"/>
  <c r="A99" i="3"/>
  <c r="C102" i="2"/>
  <c r="C102" i="4"/>
  <c r="C102" i="3"/>
  <c r="A103" i="2"/>
  <c r="A103" i="4"/>
  <c r="A103" i="3"/>
  <c r="C106" i="2"/>
  <c r="C106" i="4"/>
  <c r="C106" i="3"/>
  <c r="A107" i="2"/>
  <c r="A107" i="4"/>
  <c r="A107" i="3"/>
  <c r="C110" i="2"/>
  <c r="C110" i="4"/>
  <c r="C110" i="3"/>
  <c r="A111" i="2"/>
  <c r="A111" i="4"/>
  <c r="A111" i="3"/>
  <c r="C114" i="2"/>
  <c r="C114" i="4"/>
  <c r="C114" i="3"/>
  <c r="A115" i="2"/>
  <c r="A115" i="4"/>
  <c r="A115" i="3"/>
  <c r="C118" i="2"/>
  <c r="C118" i="4"/>
  <c r="C118" i="3"/>
  <c r="A119" i="2"/>
  <c r="A119" i="4"/>
  <c r="A119" i="3"/>
  <c r="C122" i="2"/>
  <c r="C122" i="4"/>
  <c r="C122" i="3"/>
  <c r="A123" i="2"/>
  <c r="A123" i="4"/>
  <c r="A123" i="3"/>
  <c r="C126" i="2"/>
  <c r="C126" i="4"/>
  <c r="C126" i="3"/>
  <c r="A127" i="2"/>
  <c r="A127" i="4"/>
  <c r="A127" i="3"/>
  <c r="C130" i="2"/>
  <c r="C130" i="4"/>
  <c r="C130" i="3"/>
  <c r="A131" i="2"/>
  <c r="A131" i="4"/>
  <c r="A131" i="3"/>
  <c r="C134" i="2"/>
  <c r="C134" i="4"/>
  <c r="C134" i="3"/>
  <c r="A135" i="2"/>
  <c r="A135" i="4"/>
  <c r="A135" i="3"/>
  <c r="C138" i="2"/>
  <c r="C138" i="4"/>
  <c r="C138" i="3"/>
  <c r="A139" i="2"/>
  <c r="A139" i="4"/>
  <c r="A139" i="3"/>
  <c r="C142" i="2"/>
  <c r="C142" i="4"/>
  <c r="C142" i="3"/>
  <c r="A143" i="2"/>
  <c r="A143" i="4"/>
  <c r="A143" i="3"/>
  <c r="C146" i="2"/>
  <c r="C146" i="4"/>
  <c r="C146" i="3"/>
  <c r="A147" i="2"/>
  <c r="A147" i="4"/>
  <c r="A147" i="3"/>
  <c r="C150" i="2"/>
  <c r="C150" i="4"/>
  <c r="C150" i="3"/>
  <c r="A151" i="2"/>
  <c r="A151" i="4"/>
  <c r="A151" i="3"/>
  <c r="C154" i="2"/>
  <c r="C154" i="4"/>
  <c r="C154" i="3"/>
  <c r="A155" i="2"/>
  <c r="A155" i="4"/>
  <c r="A155" i="3"/>
  <c r="C158" i="2"/>
  <c r="C158" i="4"/>
  <c r="C158" i="3"/>
  <c r="A159" i="2"/>
  <c r="A159" i="4"/>
  <c r="A159" i="3"/>
  <c r="C162" i="2"/>
  <c r="C162" i="4"/>
  <c r="C162" i="3"/>
  <c r="A163" i="2"/>
  <c r="A163" i="4"/>
  <c r="A163" i="3"/>
  <c r="C166" i="2"/>
  <c r="C166" i="4"/>
  <c r="C166" i="3"/>
  <c r="A167" i="2"/>
  <c r="A167" i="4"/>
  <c r="A167" i="3"/>
  <c r="C170" i="2"/>
  <c r="C170" i="4"/>
  <c r="C170" i="3"/>
  <c r="A171" i="2"/>
  <c r="A171" i="4"/>
  <c r="A171" i="3"/>
  <c r="C174" i="2"/>
  <c r="C174" i="4"/>
  <c r="C174" i="3"/>
  <c r="A175" i="2"/>
  <c r="A175" i="4"/>
  <c r="A175" i="3"/>
  <c r="C178" i="2"/>
  <c r="C178" i="4"/>
  <c r="C178" i="3"/>
  <c r="A179" i="2"/>
  <c r="A179" i="4"/>
  <c r="A179" i="3"/>
  <c r="C182" i="2"/>
  <c r="C182" i="4"/>
  <c r="C182" i="3"/>
  <c r="A183" i="2"/>
  <c r="A183" i="4"/>
  <c r="A183" i="3"/>
  <c r="C186" i="2"/>
  <c r="C186" i="4"/>
  <c r="C186" i="3"/>
  <c r="A187" i="2"/>
  <c r="A187" i="4"/>
  <c r="A187" i="3"/>
  <c r="C190" i="2"/>
  <c r="C190" i="4"/>
  <c r="C190" i="3"/>
  <c r="A191" i="2"/>
  <c r="A191" i="4"/>
  <c r="A191" i="3"/>
  <c r="C194" i="2"/>
  <c r="C194" i="4"/>
  <c r="C194" i="3"/>
  <c r="A195" i="2"/>
  <c r="A195" i="4"/>
  <c r="A195" i="3"/>
  <c r="C198" i="2"/>
  <c r="C198" i="4"/>
  <c r="C198" i="3"/>
  <c r="A199" i="2"/>
  <c r="A199" i="4"/>
  <c r="A199" i="3"/>
  <c r="C202" i="2"/>
  <c r="C202" i="4"/>
  <c r="C202" i="3"/>
  <c r="A203" i="2"/>
  <c r="A203" i="4"/>
  <c r="A203" i="3"/>
  <c r="C206" i="2"/>
  <c r="C206" i="4"/>
  <c r="C206" i="3"/>
  <c r="A207" i="2"/>
  <c r="A207" i="4"/>
  <c r="A207" i="3"/>
  <c r="C210" i="2"/>
  <c r="C210" i="4"/>
  <c r="C210" i="3"/>
  <c r="A211" i="2"/>
  <c r="A211" i="4"/>
  <c r="A211" i="3"/>
  <c r="C214" i="2"/>
  <c r="C214" i="4"/>
  <c r="C214" i="3"/>
  <c r="A215" i="2"/>
  <c r="A215" i="4"/>
  <c r="A215" i="3"/>
  <c r="C218" i="2"/>
  <c r="C218" i="4"/>
  <c r="C218" i="3"/>
  <c r="A219" i="2"/>
  <c r="A219" i="4"/>
  <c r="A219" i="3"/>
  <c r="C222" i="2"/>
  <c r="C222" i="4"/>
  <c r="C222" i="3"/>
  <c r="A223" i="2"/>
  <c r="A223" i="4"/>
  <c r="A223" i="3"/>
  <c r="C226" i="2"/>
  <c r="C226" i="4"/>
  <c r="C226" i="3"/>
  <c r="A227" i="2"/>
  <c r="A227" i="4"/>
  <c r="A227" i="3"/>
  <c r="C230" i="2"/>
  <c r="C230" i="4"/>
  <c r="C230" i="3"/>
  <c r="A231" i="2"/>
  <c r="A231" i="4"/>
  <c r="A231" i="3"/>
  <c r="C234" i="2"/>
  <c r="C234" i="4"/>
  <c r="C234" i="3"/>
  <c r="A235" i="2"/>
  <c r="A235" i="4"/>
  <c r="A235" i="3"/>
  <c r="C238" i="2"/>
  <c r="C238" i="4"/>
  <c r="C238" i="3"/>
  <c r="A239" i="2"/>
  <c r="A239" i="4"/>
  <c r="A239" i="3"/>
  <c r="C242" i="2"/>
  <c r="C242" i="4"/>
  <c r="C242" i="3"/>
  <c r="A243" i="2"/>
  <c r="A243" i="4"/>
  <c r="A243" i="3"/>
  <c r="C246" i="2"/>
  <c r="C246" i="4"/>
  <c r="C246" i="3"/>
  <c r="A247" i="2"/>
  <c r="A247" i="4"/>
  <c r="A247" i="3"/>
  <c r="C250" i="2"/>
  <c r="C250" i="4"/>
  <c r="C250" i="3"/>
  <c r="A251" i="2"/>
  <c r="A251" i="4"/>
  <c r="A251" i="3"/>
  <c r="C254" i="2"/>
  <c r="C254" i="4"/>
  <c r="C254" i="3"/>
  <c r="A255" i="2"/>
  <c r="A255" i="4"/>
  <c r="A255" i="3"/>
  <c r="C258" i="2"/>
  <c r="C258" i="4"/>
  <c r="C258" i="3"/>
  <c r="A259" i="2"/>
  <c r="A259" i="4"/>
  <c r="A259" i="3"/>
  <c r="C262" i="2"/>
  <c r="C262" i="4"/>
  <c r="C262" i="3"/>
  <c r="A263" i="2"/>
  <c r="A263" i="4"/>
  <c r="A263" i="3"/>
  <c r="C266" i="2"/>
  <c r="C266" i="4"/>
  <c r="C266" i="3"/>
  <c r="A267" i="2"/>
  <c r="A267" i="4"/>
  <c r="A267" i="3"/>
  <c r="C270" i="2"/>
  <c r="C270" i="4"/>
  <c r="C270" i="3"/>
  <c r="A271" i="2"/>
  <c r="A271" i="4"/>
  <c r="A271" i="3"/>
  <c r="C274" i="2"/>
  <c r="C274" i="4"/>
  <c r="C274" i="3"/>
  <c r="A275" i="2"/>
  <c r="A275" i="4"/>
  <c r="A275" i="3"/>
  <c r="C278" i="2"/>
  <c r="C278" i="4"/>
  <c r="C278" i="3"/>
  <c r="A279" i="2"/>
  <c r="A279" i="4"/>
  <c r="A279" i="3"/>
  <c r="C282" i="2"/>
  <c r="C282" i="4"/>
  <c r="C282" i="3"/>
  <c r="A283" i="2"/>
  <c r="A283" i="4"/>
  <c r="A283" i="3"/>
  <c r="C286" i="2"/>
  <c r="C286" i="4"/>
  <c r="C286" i="3"/>
  <c r="A287" i="2"/>
  <c r="A287" i="4"/>
  <c r="A287" i="3"/>
  <c r="C290" i="2"/>
  <c r="C290" i="4"/>
  <c r="C290" i="3"/>
  <c r="A291" i="2"/>
  <c r="A291" i="4"/>
  <c r="A291" i="3"/>
  <c r="C294" i="2"/>
  <c r="C294" i="4"/>
  <c r="C294" i="3"/>
  <c r="A295" i="2"/>
  <c r="A295" i="4"/>
  <c r="A295" i="3"/>
  <c r="C298" i="2"/>
  <c r="C298" i="4"/>
  <c r="C298" i="3"/>
  <c r="A299" i="2"/>
  <c r="A299" i="4"/>
  <c r="A299" i="3"/>
  <c r="C302" i="2"/>
  <c r="C302" i="4"/>
  <c r="C302" i="3"/>
  <c r="A303" i="2"/>
  <c r="A303" i="4"/>
  <c r="A303" i="3"/>
  <c r="C306" i="2"/>
  <c r="C306" i="4"/>
  <c r="C306" i="3"/>
  <c r="A307" i="2"/>
  <c r="A307" i="4"/>
  <c r="A307" i="3"/>
  <c r="U308" i="53"/>
  <c r="P8" i="3"/>
  <c r="R8" i="3" s="1"/>
  <c r="D10" i="2"/>
  <c r="B11" i="2"/>
  <c r="B11" i="4"/>
  <c r="B11" i="3"/>
  <c r="D14" i="2"/>
  <c r="B15" i="2"/>
  <c r="B15" i="4"/>
  <c r="B15" i="3"/>
  <c r="D18" i="2"/>
  <c r="B19" i="2"/>
  <c r="B19" i="4"/>
  <c r="B19" i="3"/>
  <c r="D22" i="2"/>
  <c r="B23" i="2"/>
  <c r="B23" i="4"/>
  <c r="B23" i="3"/>
  <c r="D26" i="2"/>
  <c r="B27" i="2"/>
  <c r="B27" i="4"/>
  <c r="B27" i="3"/>
  <c r="D30" i="2"/>
  <c r="B31" i="2"/>
  <c r="B31" i="4"/>
  <c r="B31" i="3"/>
  <c r="D34" i="2"/>
  <c r="B35" i="2"/>
  <c r="B35" i="4"/>
  <c r="B35" i="3"/>
  <c r="D38" i="2"/>
  <c r="B39" i="2"/>
  <c r="B39" i="4"/>
  <c r="B39" i="3"/>
  <c r="D42" i="2"/>
  <c r="B43" i="2"/>
  <c r="B43" i="4"/>
  <c r="B43" i="3"/>
  <c r="D46" i="2"/>
  <c r="B47" i="2"/>
  <c r="B47" i="4"/>
  <c r="B47" i="3"/>
  <c r="D50" i="2"/>
  <c r="B51" i="2"/>
  <c r="B51" i="4"/>
  <c r="B51" i="3"/>
  <c r="D54" i="2"/>
  <c r="B55" i="2"/>
  <c r="B55" i="4"/>
  <c r="B55" i="3"/>
  <c r="D58" i="2"/>
  <c r="B59" i="2"/>
  <c r="B59" i="4"/>
  <c r="B59" i="3"/>
  <c r="D62" i="2"/>
  <c r="B63" i="2"/>
  <c r="B63" i="4"/>
  <c r="B63" i="3"/>
  <c r="D66" i="2"/>
  <c r="B67" i="2"/>
  <c r="B67" i="4"/>
  <c r="B67" i="3"/>
  <c r="D70" i="2"/>
  <c r="B71" i="2"/>
  <c r="B71" i="4"/>
  <c r="B71" i="3"/>
  <c r="D74" i="2"/>
  <c r="B75" i="2"/>
  <c r="B75" i="4"/>
  <c r="B75" i="3"/>
  <c r="D78" i="2"/>
  <c r="B79" i="2"/>
  <c r="B79" i="4"/>
  <c r="B79" i="3"/>
  <c r="D82" i="2"/>
  <c r="B83" i="2"/>
  <c r="B83" i="4"/>
  <c r="B83" i="3"/>
  <c r="D86" i="2"/>
  <c r="B87" i="2"/>
  <c r="B87" i="4"/>
  <c r="B87" i="3"/>
  <c r="D90" i="2"/>
  <c r="B91" i="2"/>
  <c r="B91" i="4"/>
  <c r="B91" i="3"/>
  <c r="D94" i="2"/>
  <c r="B95" i="2"/>
  <c r="B95" i="4"/>
  <c r="B95" i="3"/>
  <c r="D98" i="2"/>
  <c r="B99" i="2"/>
  <c r="B99" i="4"/>
  <c r="B99" i="3"/>
  <c r="D102" i="2"/>
  <c r="B103" i="2"/>
  <c r="B103" i="4"/>
  <c r="B103" i="3"/>
  <c r="D106" i="2"/>
  <c r="B107" i="2"/>
  <c r="B107" i="4"/>
  <c r="B107" i="3"/>
  <c r="D110" i="2"/>
  <c r="B111" i="2"/>
  <c r="B111" i="4"/>
  <c r="B111" i="3"/>
  <c r="D114" i="2"/>
  <c r="B115" i="2"/>
  <c r="B115" i="4"/>
  <c r="B115" i="3"/>
  <c r="D118" i="2"/>
  <c r="B119" i="2"/>
  <c r="B119" i="4"/>
  <c r="B119" i="3"/>
  <c r="D122" i="2"/>
  <c r="B123" i="2"/>
  <c r="B123" i="4"/>
  <c r="B123" i="3"/>
  <c r="D126" i="2"/>
  <c r="B127" i="2"/>
  <c r="B127" i="4"/>
  <c r="B127" i="3"/>
  <c r="D130" i="2"/>
  <c r="B131" i="2"/>
  <c r="B131" i="4"/>
  <c r="B131" i="3"/>
  <c r="D134" i="2"/>
  <c r="B135" i="2"/>
  <c r="B135" i="4"/>
  <c r="B135" i="3"/>
  <c r="D138" i="2"/>
  <c r="B139" i="2"/>
  <c r="B139" i="4"/>
  <c r="B139" i="3"/>
  <c r="D142" i="2"/>
  <c r="B143" i="2"/>
  <c r="B143" i="4"/>
  <c r="B143" i="3"/>
  <c r="D146" i="2"/>
  <c r="B147" i="2"/>
  <c r="B147" i="4"/>
  <c r="B147" i="3"/>
  <c r="D150" i="2"/>
  <c r="B151" i="2"/>
  <c r="B151" i="4"/>
  <c r="B151" i="3"/>
  <c r="D154" i="2"/>
  <c r="B155" i="2"/>
  <c r="B155" i="4"/>
  <c r="B155" i="3"/>
  <c r="D158" i="2"/>
  <c r="B159" i="2"/>
  <c r="B159" i="4"/>
  <c r="B159" i="3"/>
  <c r="D162" i="2"/>
  <c r="B163" i="2"/>
  <c r="B163" i="4"/>
  <c r="B163" i="3"/>
  <c r="D166" i="2"/>
  <c r="B167" i="2"/>
  <c r="B167" i="4"/>
  <c r="B167" i="3"/>
  <c r="D170" i="2"/>
  <c r="B171" i="2"/>
  <c r="B171" i="4"/>
  <c r="B171" i="3"/>
  <c r="D174" i="2"/>
  <c r="B175" i="2"/>
  <c r="B175" i="4"/>
  <c r="B175" i="3"/>
  <c r="D178" i="2"/>
  <c r="B179" i="2"/>
  <c r="B179" i="4"/>
  <c r="B179" i="3"/>
  <c r="D182" i="2"/>
  <c r="B183" i="2"/>
  <c r="B183" i="4"/>
  <c r="B183" i="3"/>
  <c r="D186" i="2"/>
  <c r="B187" i="2"/>
  <c r="B187" i="4"/>
  <c r="B187" i="3"/>
  <c r="D190" i="2"/>
  <c r="B191" i="2"/>
  <c r="B191" i="4"/>
  <c r="B191" i="3"/>
  <c r="D194" i="2"/>
  <c r="B195" i="2"/>
  <c r="B195" i="4"/>
  <c r="B195" i="3"/>
  <c r="D198" i="2"/>
  <c r="B199" i="2"/>
  <c r="B199" i="4"/>
  <c r="B199" i="3"/>
  <c r="D202" i="2"/>
  <c r="B203" i="2"/>
  <c r="B203" i="4"/>
  <c r="B203" i="3"/>
  <c r="D206" i="2"/>
  <c r="B207" i="2"/>
  <c r="B207" i="4"/>
  <c r="B207" i="3"/>
  <c r="D210" i="2"/>
  <c r="B211" i="2"/>
  <c r="B211" i="4"/>
  <c r="B211" i="3"/>
  <c r="D214" i="2"/>
  <c r="B215" i="2"/>
  <c r="B215" i="4"/>
  <c r="B215" i="3"/>
  <c r="D218" i="2"/>
  <c r="B219" i="2"/>
  <c r="B219" i="4"/>
  <c r="B219" i="3"/>
  <c r="D222" i="2"/>
  <c r="B223" i="2"/>
  <c r="B223" i="4"/>
  <c r="B223" i="3"/>
  <c r="D226" i="2"/>
  <c r="B227" i="2"/>
  <c r="B227" i="4"/>
  <c r="B227" i="3"/>
  <c r="D230" i="2"/>
  <c r="B231" i="2"/>
  <c r="B231" i="4"/>
  <c r="B231" i="3"/>
  <c r="D234" i="2"/>
  <c r="B235" i="2"/>
  <c r="B235" i="4"/>
  <c r="B235" i="3"/>
  <c r="D238" i="2"/>
  <c r="B239" i="2"/>
  <c r="B239" i="4"/>
  <c r="B239" i="3"/>
  <c r="D242" i="2"/>
  <c r="B243" i="2"/>
  <c r="B243" i="4"/>
  <c r="B243" i="3"/>
  <c r="D246" i="2"/>
  <c r="B247" i="2"/>
  <c r="B247" i="4"/>
  <c r="B247" i="3"/>
  <c r="D250" i="2"/>
  <c r="B251" i="2"/>
  <c r="B251" i="4"/>
  <c r="B251" i="3"/>
  <c r="D254" i="2"/>
  <c r="B255" i="2"/>
  <c r="B255" i="4"/>
  <c r="B255" i="3"/>
  <c r="D258" i="2"/>
  <c r="B259" i="2"/>
  <c r="B259" i="4"/>
  <c r="B259" i="3"/>
  <c r="D262" i="2"/>
  <c r="B263" i="2"/>
  <c r="B263" i="4"/>
  <c r="B263" i="3"/>
  <c r="D266" i="2"/>
  <c r="B267" i="2"/>
  <c r="B267" i="4"/>
  <c r="B267" i="3"/>
  <c r="D270" i="2"/>
  <c r="B271" i="2"/>
  <c r="B271" i="4"/>
  <c r="B271" i="3"/>
  <c r="D274" i="2"/>
  <c r="B275" i="2"/>
  <c r="B275" i="4"/>
  <c r="B275" i="3"/>
  <c r="D278" i="2"/>
  <c r="B279" i="2"/>
  <c r="B279" i="4"/>
  <c r="B279" i="3"/>
  <c r="D282" i="2"/>
  <c r="B283" i="2"/>
  <c r="B283" i="4"/>
  <c r="B283" i="3"/>
  <c r="D286" i="2"/>
  <c r="B287" i="2"/>
  <c r="B287" i="4"/>
  <c r="B287" i="3"/>
  <c r="D290" i="2"/>
  <c r="B291" i="2"/>
  <c r="B291" i="4"/>
  <c r="B291" i="3"/>
  <c r="D294" i="2"/>
  <c r="B295" i="2"/>
  <c r="B295" i="4"/>
  <c r="B295" i="3"/>
  <c r="D298" i="2"/>
  <c r="B299" i="2"/>
  <c r="B299" i="4"/>
  <c r="B299" i="3"/>
  <c r="D302" i="2"/>
  <c r="B303" i="2"/>
  <c r="B303" i="4"/>
  <c r="B303" i="3"/>
  <c r="D306" i="2"/>
  <c r="B307" i="2"/>
  <c r="B307" i="4"/>
  <c r="B307" i="3"/>
  <c r="C11" i="2"/>
  <c r="C11" i="4"/>
  <c r="C11" i="3"/>
  <c r="A12" i="2"/>
  <c r="A12" i="4"/>
  <c r="A12" i="3"/>
  <c r="C15" i="2"/>
  <c r="C15" i="4"/>
  <c r="C15" i="3"/>
  <c r="A16" i="2"/>
  <c r="A16" i="4"/>
  <c r="A16" i="3"/>
  <c r="C19" i="2"/>
  <c r="C19" i="4"/>
  <c r="C19" i="3"/>
  <c r="A20" i="2"/>
  <c r="A20" i="4"/>
  <c r="A20" i="3"/>
  <c r="C23" i="2"/>
  <c r="C23" i="4"/>
  <c r="C23" i="3"/>
  <c r="A24" i="2"/>
  <c r="A24" i="4"/>
  <c r="A24" i="3"/>
  <c r="C27" i="2"/>
  <c r="C27" i="4"/>
  <c r="C27" i="3"/>
  <c r="A28" i="2"/>
  <c r="A28" i="4"/>
  <c r="A28" i="3"/>
  <c r="C31" i="2"/>
  <c r="C31" i="4"/>
  <c r="C31" i="3"/>
  <c r="A32" i="2"/>
  <c r="A32" i="4"/>
  <c r="A32" i="3"/>
  <c r="C35" i="2"/>
  <c r="C35" i="4"/>
  <c r="C35" i="3"/>
  <c r="A36" i="2"/>
  <c r="A36" i="4"/>
  <c r="A36" i="3"/>
  <c r="C39" i="2"/>
  <c r="C39" i="4"/>
  <c r="C39" i="3"/>
  <c r="A40" i="2"/>
  <c r="A40" i="4"/>
  <c r="A40" i="3"/>
  <c r="C43" i="2"/>
  <c r="C43" i="4"/>
  <c r="C43" i="3"/>
  <c r="A44" i="2"/>
  <c r="A44" i="4"/>
  <c r="A44" i="3"/>
  <c r="C47" i="2"/>
  <c r="C47" i="4"/>
  <c r="C47" i="3"/>
  <c r="A48" i="2"/>
  <c r="A48" i="4"/>
  <c r="A48" i="3"/>
  <c r="C51" i="2"/>
  <c r="C51" i="4"/>
  <c r="C51" i="3"/>
  <c r="A52" i="2"/>
  <c r="A52" i="4"/>
  <c r="A52" i="3"/>
  <c r="C55" i="2"/>
  <c r="C55" i="4"/>
  <c r="C55" i="3"/>
  <c r="A56" i="2"/>
  <c r="A56" i="4"/>
  <c r="A56" i="3"/>
  <c r="C59" i="2"/>
  <c r="C59" i="4"/>
  <c r="C59" i="3"/>
  <c r="A60" i="2"/>
  <c r="A60" i="4"/>
  <c r="A60" i="3"/>
  <c r="C63" i="2"/>
  <c r="C63" i="4"/>
  <c r="C63" i="3"/>
  <c r="A64" i="2"/>
  <c r="A64" i="4"/>
  <c r="A64" i="3"/>
  <c r="C67" i="2"/>
  <c r="C67" i="4"/>
  <c r="C67" i="3"/>
  <c r="A68" i="2"/>
  <c r="A68" i="4"/>
  <c r="A68" i="3"/>
  <c r="C71" i="2"/>
  <c r="C71" i="4"/>
  <c r="C71" i="3"/>
  <c r="A72" i="2"/>
  <c r="A72" i="4"/>
  <c r="A72" i="3"/>
  <c r="C75" i="2"/>
  <c r="C75" i="4"/>
  <c r="C75" i="3"/>
  <c r="A76" i="2"/>
  <c r="A76" i="4"/>
  <c r="A76" i="3"/>
  <c r="C79" i="2"/>
  <c r="C79" i="4"/>
  <c r="C79" i="3"/>
  <c r="A80" i="2"/>
  <c r="A80" i="4"/>
  <c r="A80" i="3"/>
  <c r="C83" i="2"/>
  <c r="C83" i="4"/>
  <c r="C83" i="3"/>
  <c r="A84" i="2"/>
  <c r="A84" i="4"/>
  <c r="A84" i="3"/>
  <c r="C87" i="2"/>
  <c r="C87" i="4"/>
  <c r="C87" i="3"/>
  <c r="A88" i="2"/>
  <c r="A88" i="4"/>
  <c r="A88" i="3"/>
  <c r="C91" i="2"/>
  <c r="C91" i="4"/>
  <c r="C91" i="3"/>
  <c r="A92" i="2"/>
  <c r="A92" i="4"/>
  <c r="A92" i="3"/>
  <c r="C95" i="2"/>
  <c r="C95" i="4"/>
  <c r="C95" i="3"/>
  <c r="A96" i="2"/>
  <c r="A96" i="4"/>
  <c r="A96" i="3"/>
  <c r="C99" i="2"/>
  <c r="C99" i="4"/>
  <c r="C99" i="3"/>
  <c r="A100" i="2"/>
  <c r="A100" i="4"/>
  <c r="A100" i="3"/>
  <c r="C103" i="2"/>
  <c r="C103" i="4"/>
  <c r="C103" i="3"/>
  <c r="A104" i="2"/>
  <c r="A104" i="4"/>
  <c r="A104" i="3"/>
  <c r="C107" i="2"/>
  <c r="C107" i="4"/>
  <c r="C107" i="3"/>
  <c r="A108" i="2"/>
  <c r="A108" i="4"/>
  <c r="A108" i="3"/>
  <c r="C111" i="2"/>
  <c r="C111" i="4"/>
  <c r="C111" i="3"/>
  <c r="A112" i="2"/>
  <c r="A112" i="4"/>
  <c r="A112" i="3"/>
  <c r="C115" i="2"/>
  <c r="C115" i="4"/>
  <c r="C115" i="3"/>
  <c r="A116" i="2"/>
  <c r="A116" i="4"/>
  <c r="A116" i="3"/>
  <c r="C119" i="2"/>
  <c r="C119" i="4"/>
  <c r="C119" i="3"/>
  <c r="A120" i="2"/>
  <c r="A120" i="4"/>
  <c r="A120" i="3"/>
  <c r="C123" i="2"/>
  <c r="C123" i="4"/>
  <c r="C123" i="3"/>
  <c r="A124" i="2"/>
  <c r="A124" i="4"/>
  <c r="A124" i="3"/>
  <c r="C127" i="2"/>
  <c r="C127" i="4"/>
  <c r="C127" i="3"/>
  <c r="A128" i="2"/>
  <c r="A128" i="4"/>
  <c r="A128" i="3"/>
  <c r="C131" i="2"/>
  <c r="C131" i="4"/>
  <c r="C131" i="3"/>
  <c r="A132" i="2"/>
  <c r="A132" i="4"/>
  <c r="A132" i="3"/>
  <c r="C135" i="2"/>
  <c r="C135" i="4"/>
  <c r="C135" i="3"/>
  <c r="A136" i="2"/>
  <c r="A136" i="4"/>
  <c r="A136" i="3"/>
  <c r="C139" i="2"/>
  <c r="C139" i="4"/>
  <c r="C139" i="3"/>
  <c r="A140" i="2"/>
  <c r="A140" i="4"/>
  <c r="A140" i="3"/>
  <c r="C143" i="2"/>
  <c r="C143" i="4"/>
  <c r="C143" i="3"/>
  <c r="A144" i="2"/>
  <c r="A144" i="4"/>
  <c r="A144" i="3"/>
  <c r="C147" i="2"/>
  <c r="C147" i="4"/>
  <c r="C147" i="3"/>
  <c r="A148" i="2"/>
  <c r="A148" i="4"/>
  <c r="A148" i="3"/>
  <c r="C151" i="2"/>
  <c r="C151" i="4"/>
  <c r="C151" i="3"/>
  <c r="A152" i="2"/>
  <c r="A152" i="4"/>
  <c r="A152" i="3"/>
  <c r="C155" i="2"/>
  <c r="C155" i="4"/>
  <c r="C155" i="3"/>
  <c r="A156" i="2"/>
  <c r="A156" i="4"/>
  <c r="A156" i="3"/>
  <c r="C159" i="2"/>
  <c r="C159" i="4"/>
  <c r="C159" i="3"/>
  <c r="A160" i="2"/>
  <c r="A160" i="4"/>
  <c r="A160" i="3"/>
  <c r="C163" i="2"/>
  <c r="C163" i="4"/>
  <c r="C163" i="3"/>
  <c r="A164" i="2"/>
  <c r="A164" i="4"/>
  <c r="A164" i="3"/>
  <c r="C167" i="2"/>
  <c r="C167" i="4"/>
  <c r="C167" i="3"/>
  <c r="A168" i="2"/>
  <c r="A168" i="4"/>
  <c r="A168" i="3"/>
  <c r="C171" i="2"/>
  <c r="C171" i="4"/>
  <c r="C171" i="3"/>
  <c r="A172" i="2"/>
  <c r="A172" i="4"/>
  <c r="A172" i="3"/>
  <c r="C175" i="2"/>
  <c r="C175" i="4"/>
  <c r="C175" i="3"/>
  <c r="A176" i="2"/>
  <c r="A176" i="4"/>
  <c r="A176" i="3"/>
  <c r="C179" i="2"/>
  <c r="C179" i="4"/>
  <c r="C179" i="3"/>
  <c r="A180" i="2"/>
  <c r="A180" i="4"/>
  <c r="A180" i="3"/>
  <c r="C183" i="2"/>
  <c r="C183" i="4"/>
  <c r="C183" i="3"/>
  <c r="A184" i="2"/>
  <c r="A184" i="4"/>
  <c r="A184" i="3"/>
  <c r="C187" i="2"/>
  <c r="C187" i="4"/>
  <c r="C187" i="3"/>
  <c r="A188" i="2"/>
  <c r="A188" i="4"/>
  <c r="A188" i="3"/>
  <c r="C191" i="2"/>
  <c r="C191" i="4"/>
  <c r="C191" i="3"/>
  <c r="A192" i="2"/>
  <c r="A192" i="4"/>
  <c r="A192" i="3"/>
  <c r="C195" i="2"/>
  <c r="C195" i="4"/>
  <c r="C195" i="3"/>
  <c r="A196" i="2"/>
  <c r="A196" i="4"/>
  <c r="A196" i="3"/>
  <c r="C199" i="2"/>
  <c r="C199" i="4"/>
  <c r="C199" i="3"/>
  <c r="A200" i="2"/>
  <c r="A200" i="4"/>
  <c r="A200" i="3"/>
  <c r="C203" i="2"/>
  <c r="C203" i="4"/>
  <c r="C203" i="3"/>
  <c r="A204" i="2"/>
  <c r="A204" i="4"/>
  <c r="A204" i="3"/>
  <c r="C207" i="2"/>
  <c r="C207" i="4"/>
  <c r="C207" i="3"/>
  <c r="A208" i="2"/>
  <c r="A208" i="4"/>
  <c r="A208" i="3"/>
  <c r="C211" i="2"/>
  <c r="C211" i="4"/>
  <c r="C211" i="3"/>
  <c r="A212" i="2"/>
  <c r="A212" i="4"/>
  <c r="A212" i="3"/>
  <c r="C215" i="2"/>
  <c r="C215" i="4"/>
  <c r="C215" i="3"/>
  <c r="A216" i="2"/>
  <c r="A216" i="4"/>
  <c r="A216" i="3"/>
  <c r="C219" i="2"/>
  <c r="C219" i="4"/>
  <c r="C219" i="3"/>
  <c r="A220" i="2"/>
  <c r="A220" i="4"/>
  <c r="A220" i="3"/>
  <c r="C223" i="2"/>
  <c r="C223" i="4"/>
  <c r="C223" i="3"/>
  <c r="A224" i="2"/>
  <c r="A224" i="4"/>
  <c r="A224" i="3"/>
  <c r="C227" i="2"/>
  <c r="C227" i="4"/>
  <c r="C227" i="3"/>
  <c r="A228" i="2"/>
  <c r="A228" i="4"/>
  <c r="A228" i="3"/>
  <c r="C231" i="2"/>
  <c r="C231" i="4"/>
  <c r="C231" i="3"/>
  <c r="A232" i="2"/>
  <c r="A232" i="4"/>
  <c r="A232" i="3"/>
  <c r="C235" i="2"/>
  <c r="C235" i="4"/>
  <c r="C235" i="3"/>
  <c r="A236" i="2"/>
  <c r="A236" i="4"/>
  <c r="A236" i="3"/>
  <c r="C239" i="2"/>
  <c r="C239" i="4"/>
  <c r="C239" i="3"/>
  <c r="A240" i="2"/>
  <c r="A240" i="4"/>
  <c r="A240" i="3"/>
  <c r="C243" i="2"/>
  <c r="C243" i="4"/>
  <c r="C243" i="3"/>
  <c r="A244" i="2"/>
  <c r="A244" i="4"/>
  <c r="A244" i="3"/>
  <c r="C247" i="2"/>
  <c r="C247" i="4"/>
  <c r="C247" i="3"/>
  <c r="A248" i="2"/>
  <c r="A248" i="4"/>
  <c r="A248" i="3"/>
  <c r="C251" i="2"/>
  <c r="C251" i="4"/>
  <c r="C251" i="3"/>
  <c r="A252" i="2"/>
  <c r="A252" i="4"/>
  <c r="A252" i="3"/>
  <c r="C255" i="2"/>
  <c r="C255" i="4"/>
  <c r="C255" i="3"/>
  <c r="A256" i="2"/>
  <c r="A256" i="4"/>
  <c r="A256" i="3"/>
  <c r="C259" i="2"/>
  <c r="C259" i="4"/>
  <c r="C259" i="3"/>
  <c r="A260" i="2"/>
  <c r="A260" i="4"/>
  <c r="A260" i="3"/>
  <c r="C263" i="2"/>
  <c r="C263" i="4"/>
  <c r="C263" i="3"/>
  <c r="A264" i="2"/>
  <c r="A264" i="4"/>
  <c r="A264" i="3"/>
  <c r="C267" i="2"/>
  <c r="C267" i="4"/>
  <c r="C267" i="3"/>
  <c r="A268" i="2"/>
  <c r="A268" i="4"/>
  <c r="A268" i="3"/>
  <c r="C271" i="2"/>
  <c r="C271" i="4"/>
  <c r="C271" i="3"/>
  <c r="A272" i="2"/>
  <c r="A272" i="4"/>
  <c r="A272" i="3"/>
  <c r="C275" i="2"/>
  <c r="C275" i="4"/>
  <c r="C275" i="3"/>
  <c r="A276" i="2"/>
  <c r="A276" i="4"/>
  <c r="A276" i="3"/>
  <c r="C279" i="2"/>
  <c r="C279" i="4"/>
  <c r="C279" i="3"/>
  <c r="A280" i="2"/>
  <c r="A280" i="4"/>
  <c r="A280" i="3"/>
  <c r="C283" i="2"/>
  <c r="C283" i="4"/>
  <c r="C283" i="3"/>
  <c r="A284" i="2"/>
  <c r="A284" i="4"/>
  <c r="A284" i="3"/>
  <c r="C287" i="2"/>
  <c r="C287" i="4"/>
  <c r="C287" i="3"/>
  <c r="A288" i="2"/>
  <c r="A288" i="4"/>
  <c r="A288" i="3"/>
  <c r="C291" i="2"/>
  <c r="C291" i="4"/>
  <c r="C291" i="3"/>
  <c r="A292" i="2"/>
  <c r="A292" i="4"/>
  <c r="A292" i="3"/>
  <c r="C295" i="2"/>
  <c r="C295" i="4"/>
  <c r="C295" i="3"/>
  <c r="A296" i="2"/>
  <c r="A296" i="4"/>
  <c r="A296" i="3"/>
  <c r="C299" i="2"/>
  <c r="C299" i="4"/>
  <c r="C299" i="3"/>
  <c r="A300" i="2"/>
  <c r="A300" i="4"/>
  <c r="A300" i="3"/>
  <c r="C303" i="2"/>
  <c r="C303" i="4"/>
  <c r="C303" i="3"/>
  <c r="A304" i="2"/>
  <c r="A304" i="4"/>
  <c r="A304" i="3"/>
  <c r="C307" i="2"/>
  <c r="C307" i="4"/>
  <c r="C307" i="3"/>
  <c r="A8" i="2"/>
  <c r="A8" i="4"/>
  <c r="A8" i="3"/>
  <c r="D11" i="2"/>
  <c r="B12" i="2"/>
  <c r="B12" i="4"/>
  <c r="B12" i="3"/>
  <c r="D15" i="2"/>
  <c r="B16" i="2"/>
  <c r="B16" i="4"/>
  <c r="B16" i="3"/>
  <c r="D19" i="2"/>
  <c r="B20" i="2"/>
  <c r="B20" i="4"/>
  <c r="B20" i="3"/>
  <c r="D23" i="2"/>
  <c r="B24" i="2"/>
  <c r="B24" i="4"/>
  <c r="B24" i="3"/>
  <c r="D27" i="2"/>
  <c r="B28" i="2"/>
  <c r="B28" i="4"/>
  <c r="B28" i="3"/>
  <c r="D31" i="2"/>
  <c r="B32" i="2"/>
  <c r="B32" i="4"/>
  <c r="B32" i="3"/>
  <c r="D35" i="2"/>
  <c r="B36" i="2"/>
  <c r="B36" i="4"/>
  <c r="B36" i="3"/>
  <c r="D39" i="2"/>
  <c r="B40" i="2"/>
  <c r="B40" i="4"/>
  <c r="B40" i="3"/>
  <c r="D43" i="2"/>
  <c r="B44" i="2"/>
  <c r="B44" i="4"/>
  <c r="B44" i="3"/>
  <c r="D47" i="2"/>
  <c r="B48" i="2"/>
  <c r="B48" i="4"/>
  <c r="B48" i="3"/>
  <c r="D51" i="2"/>
  <c r="B52" i="2"/>
  <c r="B52" i="4"/>
  <c r="B52" i="3"/>
  <c r="D55" i="2"/>
  <c r="B56" i="2"/>
  <c r="B56" i="4"/>
  <c r="B56" i="3"/>
  <c r="D59" i="2"/>
  <c r="B60" i="2"/>
  <c r="B60" i="4"/>
  <c r="B60" i="3"/>
  <c r="D63" i="2"/>
  <c r="B64" i="2"/>
  <c r="B64" i="4"/>
  <c r="B64" i="3"/>
  <c r="D67" i="2"/>
  <c r="B68" i="2"/>
  <c r="B68" i="4"/>
  <c r="B68" i="3"/>
  <c r="D71" i="2"/>
  <c r="B72" i="2"/>
  <c r="B72" i="4"/>
  <c r="B72" i="3"/>
  <c r="D75" i="2"/>
  <c r="B76" i="2"/>
  <c r="B76" i="4"/>
  <c r="B76" i="3"/>
  <c r="D79" i="2"/>
  <c r="B80" i="2"/>
  <c r="B80" i="4"/>
  <c r="B80" i="3"/>
  <c r="D83" i="2"/>
  <c r="B84" i="2"/>
  <c r="B84" i="4"/>
  <c r="B84" i="3"/>
  <c r="D87" i="2"/>
  <c r="B88" i="2"/>
  <c r="B88" i="4"/>
  <c r="B88" i="3"/>
  <c r="D91" i="2"/>
  <c r="B92" i="2"/>
  <c r="B92" i="4"/>
  <c r="B92" i="3"/>
  <c r="D95" i="2"/>
  <c r="B96" i="2"/>
  <c r="B96" i="4"/>
  <c r="B96" i="3"/>
  <c r="D99" i="2"/>
  <c r="B100" i="2"/>
  <c r="B100" i="4"/>
  <c r="B100" i="3"/>
  <c r="D103" i="2"/>
  <c r="B104" i="2"/>
  <c r="B104" i="4"/>
  <c r="B104" i="3"/>
  <c r="D107" i="2"/>
  <c r="B108" i="2"/>
  <c r="B108" i="4"/>
  <c r="B108" i="3"/>
  <c r="D111" i="2"/>
  <c r="B112" i="2"/>
  <c r="B112" i="4"/>
  <c r="B112" i="3"/>
  <c r="D115" i="2"/>
  <c r="B116" i="2"/>
  <c r="B116" i="4"/>
  <c r="B116" i="3"/>
  <c r="D119" i="2"/>
  <c r="B120" i="2"/>
  <c r="B120" i="4"/>
  <c r="B120" i="3"/>
  <c r="D123" i="2"/>
  <c r="B124" i="2"/>
  <c r="B124" i="4"/>
  <c r="B124" i="3"/>
  <c r="D127" i="2"/>
  <c r="B128" i="2"/>
  <c r="B128" i="4"/>
  <c r="B128" i="3"/>
  <c r="D131" i="2"/>
  <c r="B132" i="2"/>
  <c r="B132" i="4"/>
  <c r="B132" i="3"/>
  <c r="D135" i="2"/>
  <c r="B136" i="2"/>
  <c r="B136" i="4"/>
  <c r="B136" i="3"/>
  <c r="D139" i="2"/>
  <c r="B140" i="2"/>
  <c r="B140" i="4"/>
  <c r="B140" i="3"/>
  <c r="D143" i="2"/>
  <c r="B144" i="2"/>
  <c r="B144" i="4"/>
  <c r="B144" i="3"/>
  <c r="D147" i="2"/>
  <c r="B148" i="2"/>
  <c r="B148" i="4"/>
  <c r="B148" i="3"/>
  <c r="D151" i="2"/>
  <c r="B152" i="2"/>
  <c r="B152" i="4"/>
  <c r="B152" i="3"/>
  <c r="D155" i="2"/>
  <c r="B156" i="2"/>
  <c r="B156" i="4"/>
  <c r="B156" i="3"/>
  <c r="D159" i="2"/>
  <c r="B160" i="2"/>
  <c r="B160" i="4"/>
  <c r="B160" i="3"/>
  <c r="D163" i="2"/>
  <c r="B164" i="2"/>
  <c r="B164" i="4"/>
  <c r="B164" i="3"/>
  <c r="D167" i="2"/>
  <c r="B168" i="2"/>
  <c r="B168" i="4"/>
  <c r="B168" i="3"/>
  <c r="D171" i="2"/>
  <c r="B172" i="2"/>
  <c r="B172" i="4"/>
  <c r="B172" i="3"/>
  <c r="D175" i="2"/>
  <c r="B176" i="2"/>
  <c r="B176" i="4"/>
  <c r="B176" i="3"/>
  <c r="D179" i="2"/>
  <c r="B180" i="2"/>
  <c r="B180" i="4"/>
  <c r="B180" i="3"/>
  <c r="D183" i="2"/>
  <c r="B184" i="2"/>
  <c r="B184" i="4"/>
  <c r="B184" i="3"/>
  <c r="D187" i="2"/>
  <c r="B188" i="2"/>
  <c r="B188" i="4"/>
  <c r="B188" i="3"/>
  <c r="D191" i="2"/>
  <c r="B192" i="2"/>
  <c r="B192" i="4"/>
  <c r="B192" i="3"/>
  <c r="D195" i="2"/>
  <c r="B196" i="2"/>
  <c r="B196" i="4"/>
  <c r="B196" i="3"/>
  <c r="D199" i="2"/>
  <c r="B200" i="2"/>
  <c r="B200" i="4"/>
  <c r="B200" i="3"/>
  <c r="D203" i="2"/>
  <c r="B204" i="2"/>
  <c r="B204" i="4"/>
  <c r="B204" i="3"/>
  <c r="D207" i="2"/>
  <c r="B208" i="2"/>
  <c r="B208" i="4"/>
  <c r="B208" i="3"/>
  <c r="D211" i="2"/>
  <c r="B212" i="2"/>
  <c r="B212" i="4"/>
  <c r="B212" i="3"/>
  <c r="D215" i="2"/>
  <c r="B216" i="2"/>
  <c r="B216" i="4"/>
  <c r="B216" i="3"/>
  <c r="D219" i="2"/>
  <c r="B220" i="2"/>
  <c r="B220" i="4"/>
  <c r="B220" i="3"/>
  <c r="D223" i="2"/>
  <c r="B224" i="2"/>
  <c r="B224" i="4"/>
  <c r="B224" i="3"/>
  <c r="D227" i="2"/>
  <c r="B228" i="2"/>
  <c r="B228" i="4"/>
  <c r="B228" i="3"/>
  <c r="D231" i="2"/>
  <c r="B232" i="2"/>
  <c r="B232" i="4"/>
  <c r="B232" i="3"/>
  <c r="D235" i="2"/>
  <c r="B236" i="2"/>
  <c r="B236" i="4"/>
  <c r="B236" i="3"/>
  <c r="D239" i="2"/>
  <c r="B240" i="2"/>
  <c r="B240" i="4"/>
  <c r="B240" i="3"/>
  <c r="D243" i="2"/>
  <c r="B244" i="2"/>
  <c r="B244" i="4"/>
  <c r="B244" i="3"/>
  <c r="D247" i="2"/>
  <c r="B248" i="2"/>
  <c r="B248" i="4"/>
  <c r="B248" i="3"/>
  <c r="D251" i="2"/>
  <c r="B252" i="2"/>
  <c r="B252" i="4"/>
  <c r="B252" i="3"/>
  <c r="D255" i="2"/>
  <c r="B256" i="2"/>
  <c r="B256" i="4"/>
  <c r="B256" i="3"/>
  <c r="D259" i="2"/>
  <c r="B260" i="2"/>
  <c r="B260" i="4"/>
  <c r="B260" i="3"/>
  <c r="D263" i="2"/>
  <c r="B264" i="2"/>
  <c r="B264" i="4"/>
  <c r="B264" i="3"/>
  <c r="D267" i="2"/>
  <c r="B268" i="2"/>
  <c r="B268" i="4"/>
  <c r="B268" i="3"/>
  <c r="D271" i="2"/>
  <c r="B272" i="2"/>
  <c r="B272" i="4"/>
  <c r="B272" i="3"/>
  <c r="D275" i="2"/>
  <c r="B276" i="2"/>
  <c r="B276" i="4"/>
  <c r="B276" i="3"/>
  <c r="D279" i="2"/>
  <c r="B280" i="2"/>
  <c r="B280" i="4"/>
  <c r="B280" i="3"/>
  <c r="D283" i="2"/>
  <c r="B284" i="2"/>
  <c r="B284" i="4"/>
  <c r="B284" i="3"/>
  <c r="D287" i="2"/>
  <c r="B288" i="2"/>
  <c r="B288" i="4"/>
  <c r="B288" i="3"/>
  <c r="D291" i="2"/>
  <c r="B292" i="2"/>
  <c r="B292" i="4"/>
  <c r="B292" i="3"/>
  <c r="D295" i="2"/>
  <c r="B296" i="2"/>
  <c r="B296" i="4"/>
  <c r="B296" i="3"/>
  <c r="D299" i="2"/>
  <c r="B300" i="2"/>
  <c r="B300" i="4"/>
  <c r="B300" i="3"/>
  <c r="D303" i="2"/>
  <c r="B304" i="2"/>
  <c r="B304" i="4"/>
  <c r="B304" i="3"/>
  <c r="D307" i="2"/>
  <c r="B8" i="2"/>
  <c r="B8" i="4"/>
  <c r="B8" i="3"/>
  <c r="A9" i="2"/>
  <c r="A9" i="4"/>
  <c r="A9" i="3"/>
  <c r="C12" i="2"/>
  <c r="C12" i="4"/>
  <c r="C12" i="3"/>
  <c r="A13" i="2"/>
  <c r="A13" i="4"/>
  <c r="A13" i="3"/>
  <c r="C16" i="2"/>
  <c r="C16" i="4"/>
  <c r="C16" i="3"/>
  <c r="A17" i="2"/>
  <c r="A17" i="4"/>
  <c r="A17" i="3"/>
  <c r="C20" i="2"/>
  <c r="C20" i="4"/>
  <c r="C20" i="3"/>
  <c r="A21" i="2"/>
  <c r="A21" i="4"/>
  <c r="A21" i="3"/>
  <c r="C24" i="2"/>
  <c r="C24" i="4"/>
  <c r="C24" i="3"/>
  <c r="A25" i="2"/>
  <c r="A25" i="4"/>
  <c r="A25" i="3"/>
  <c r="C28" i="2"/>
  <c r="C28" i="4"/>
  <c r="C28" i="3"/>
  <c r="A29" i="2"/>
  <c r="A29" i="4"/>
  <c r="A29" i="3"/>
  <c r="C32" i="2"/>
  <c r="C32" i="4"/>
  <c r="C32" i="3"/>
  <c r="A33" i="2"/>
  <c r="A33" i="4"/>
  <c r="A33" i="3"/>
  <c r="C36" i="2"/>
  <c r="C36" i="4"/>
  <c r="C36" i="3"/>
  <c r="A37" i="2"/>
  <c r="A37" i="4"/>
  <c r="A37" i="3"/>
  <c r="C40" i="2"/>
  <c r="C40" i="4"/>
  <c r="C40" i="3"/>
  <c r="A41" i="2"/>
  <c r="A41" i="4"/>
  <c r="A41" i="3"/>
  <c r="C44" i="2"/>
  <c r="C44" i="4"/>
  <c r="C44" i="3"/>
  <c r="A45" i="2"/>
  <c r="A45" i="4"/>
  <c r="A45" i="3"/>
  <c r="C48" i="2"/>
  <c r="C48" i="4"/>
  <c r="C48" i="3"/>
  <c r="A49" i="2"/>
  <c r="A49" i="4"/>
  <c r="A49" i="3"/>
  <c r="C52" i="2"/>
  <c r="C52" i="4"/>
  <c r="C52" i="3"/>
  <c r="A53" i="2"/>
  <c r="A53" i="4"/>
  <c r="A53" i="3"/>
  <c r="C56" i="2"/>
  <c r="C56" i="4"/>
  <c r="C56" i="3"/>
  <c r="A57" i="2"/>
  <c r="A57" i="4"/>
  <c r="A57" i="3"/>
  <c r="C60" i="2"/>
  <c r="C60" i="4"/>
  <c r="C60" i="3"/>
  <c r="A61" i="2"/>
  <c r="A61" i="4"/>
  <c r="A61" i="3"/>
  <c r="C64" i="2"/>
  <c r="C64" i="4"/>
  <c r="C64" i="3"/>
  <c r="A65" i="2"/>
  <c r="A65" i="4"/>
  <c r="A65" i="3"/>
  <c r="C68" i="2"/>
  <c r="C68" i="4"/>
  <c r="C68" i="3"/>
  <c r="A69" i="2"/>
  <c r="A69" i="4"/>
  <c r="A69" i="3"/>
  <c r="C72" i="2"/>
  <c r="C72" i="4"/>
  <c r="C72" i="3"/>
  <c r="A73" i="2"/>
  <c r="A73" i="4"/>
  <c r="A73" i="3"/>
  <c r="C76" i="2"/>
  <c r="C76" i="4"/>
  <c r="C76" i="3"/>
  <c r="A77" i="2"/>
  <c r="A77" i="4"/>
  <c r="A77" i="3"/>
  <c r="C80" i="2"/>
  <c r="C80" i="4"/>
  <c r="C80" i="3"/>
  <c r="A81" i="2"/>
  <c r="A81" i="4"/>
  <c r="A81" i="3"/>
  <c r="C84" i="2"/>
  <c r="C84" i="4"/>
  <c r="C84" i="3"/>
  <c r="A85" i="2"/>
  <c r="A85" i="4"/>
  <c r="A85" i="3"/>
  <c r="C88" i="2"/>
  <c r="C88" i="4"/>
  <c r="C88" i="3"/>
  <c r="A89" i="2"/>
  <c r="A89" i="4"/>
  <c r="A89" i="3"/>
  <c r="C92" i="2"/>
  <c r="C92" i="4"/>
  <c r="C92" i="3"/>
  <c r="A93" i="2"/>
  <c r="A93" i="4"/>
  <c r="A93" i="3"/>
  <c r="C96" i="2"/>
  <c r="C96" i="4"/>
  <c r="C96" i="3"/>
  <c r="A97" i="2"/>
  <c r="A97" i="4"/>
  <c r="A97" i="3"/>
  <c r="C100" i="2"/>
  <c r="C100" i="4"/>
  <c r="C100" i="3"/>
  <c r="A101" i="2"/>
  <c r="A101" i="4"/>
  <c r="A101" i="3"/>
  <c r="C104" i="2"/>
  <c r="C104" i="4"/>
  <c r="C104" i="3"/>
  <c r="A105" i="2"/>
  <c r="A105" i="4"/>
  <c r="A105" i="3"/>
  <c r="C108" i="2"/>
  <c r="C108" i="4"/>
  <c r="C108" i="3"/>
  <c r="A109" i="2"/>
  <c r="A109" i="4"/>
  <c r="A109" i="3"/>
  <c r="C112" i="2"/>
  <c r="C112" i="4"/>
  <c r="C112" i="3"/>
  <c r="A113" i="2"/>
  <c r="A113" i="4"/>
  <c r="A113" i="3"/>
  <c r="C116" i="2"/>
  <c r="C116" i="4"/>
  <c r="C116" i="3"/>
  <c r="A117" i="2"/>
  <c r="A117" i="4"/>
  <c r="A117" i="3"/>
  <c r="C120" i="2"/>
  <c r="C120" i="4"/>
  <c r="C120" i="3"/>
  <c r="A121" i="2"/>
  <c r="A121" i="4"/>
  <c r="A121" i="3"/>
  <c r="C124" i="2"/>
  <c r="C124" i="4"/>
  <c r="C124" i="3"/>
  <c r="A125" i="2"/>
  <c r="A125" i="4"/>
  <c r="A125" i="3"/>
  <c r="C128" i="2"/>
  <c r="C128" i="4"/>
  <c r="C128" i="3"/>
  <c r="A129" i="2"/>
  <c r="A129" i="4"/>
  <c r="A129" i="3"/>
  <c r="C132" i="2"/>
  <c r="C132" i="4"/>
  <c r="C132" i="3"/>
  <c r="A133" i="2"/>
  <c r="A133" i="4"/>
  <c r="A133" i="3"/>
  <c r="C136" i="2"/>
  <c r="C136" i="4"/>
  <c r="C136" i="3"/>
  <c r="A137" i="2"/>
  <c r="A137" i="4"/>
  <c r="A137" i="3"/>
  <c r="C140" i="2"/>
  <c r="C140" i="4"/>
  <c r="C140" i="3"/>
  <c r="A141" i="2"/>
  <c r="A141" i="4"/>
  <c r="A141" i="3"/>
  <c r="C144" i="2"/>
  <c r="C144" i="4"/>
  <c r="C144" i="3"/>
  <c r="A145" i="2"/>
  <c r="A145" i="4"/>
  <c r="A145" i="3"/>
  <c r="C148" i="2"/>
  <c r="C148" i="4"/>
  <c r="C148" i="3"/>
  <c r="A149" i="2"/>
  <c r="A149" i="4"/>
  <c r="A149" i="3"/>
  <c r="C152" i="2"/>
  <c r="C152" i="4"/>
  <c r="C152" i="3"/>
  <c r="A153" i="2"/>
  <c r="A153" i="4"/>
  <c r="A153" i="3"/>
  <c r="C156" i="2"/>
  <c r="C156" i="4"/>
  <c r="C156" i="3"/>
  <c r="A157" i="2"/>
  <c r="A157" i="4"/>
  <c r="A157" i="3"/>
  <c r="C160" i="2"/>
  <c r="C160" i="4"/>
  <c r="C160" i="3"/>
  <c r="A161" i="2"/>
  <c r="A161" i="4"/>
  <c r="A161" i="3"/>
  <c r="C164" i="2"/>
  <c r="C164" i="4"/>
  <c r="C164" i="3"/>
  <c r="A165" i="2"/>
  <c r="A165" i="4"/>
  <c r="A165" i="3"/>
  <c r="C168" i="2"/>
  <c r="C168" i="4"/>
  <c r="C168" i="3"/>
  <c r="A169" i="2"/>
  <c r="A169" i="4"/>
  <c r="A169" i="3"/>
  <c r="C172" i="2"/>
  <c r="C172" i="4"/>
  <c r="C172" i="3"/>
  <c r="A173" i="2"/>
  <c r="A173" i="4"/>
  <c r="A173" i="3"/>
  <c r="C176" i="2"/>
  <c r="C176" i="4"/>
  <c r="C176" i="3"/>
  <c r="A177" i="2"/>
  <c r="A177" i="4"/>
  <c r="A177" i="3"/>
  <c r="C180" i="2"/>
  <c r="C180" i="4"/>
  <c r="C180" i="3"/>
  <c r="A181" i="2"/>
  <c r="A181" i="4"/>
  <c r="A181" i="3"/>
  <c r="C184" i="2"/>
  <c r="C184" i="4"/>
  <c r="C184" i="3"/>
  <c r="A185" i="2"/>
  <c r="A185" i="4"/>
  <c r="A185" i="3"/>
  <c r="C188" i="2"/>
  <c r="C188" i="4"/>
  <c r="C188" i="3"/>
  <c r="A189" i="2"/>
  <c r="A189" i="4"/>
  <c r="A189" i="3"/>
  <c r="C192" i="2"/>
  <c r="C192" i="4"/>
  <c r="C192" i="3"/>
  <c r="A193" i="2"/>
  <c r="A193" i="4"/>
  <c r="A193" i="3"/>
  <c r="C196" i="2"/>
  <c r="C196" i="4"/>
  <c r="C196" i="3"/>
  <c r="A197" i="2"/>
  <c r="A197" i="4"/>
  <c r="A197" i="3"/>
  <c r="C200" i="2"/>
  <c r="C200" i="4"/>
  <c r="C200" i="3"/>
  <c r="A201" i="2"/>
  <c r="A201" i="4"/>
  <c r="A201" i="3"/>
  <c r="C204" i="2"/>
  <c r="C204" i="4"/>
  <c r="C204" i="3"/>
  <c r="A205" i="2"/>
  <c r="A205" i="4"/>
  <c r="A205" i="3"/>
  <c r="C208" i="2"/>
  <c r="C208" i="4"/>
  <c r="C208" i="3"/>
  <c r="A209" i="2"/>
  <c r="A209" i="4"/>
  <c r="A209" i="3"/>
  <c r="C212" i="2"/>
  <c r="C212" i="4"/>
  <c r="C212" i="3"/>
  <c r="A213" i="2"/>
  <c r="A213" i="4"/>
  <c r="A213" i="3"/>
  <c r="C216" i="2"/>
  <c r="C216" i="4"/>
  <c r="C216" i="3"/>
  <c r="A217" i="2"/>
  <c r="A217" i="4"/>
  <c r="A217" i="3"/>
  <c r="C220" i="2"/>
  <c r="C220" i="4"/>
  <c r="C220" i="3"/>
  <c r="A221" i="2"/>
  <c r="A221" i="4"/>
  <c r="A221" i="3"/>
  <c r="C224" i="2"/>
  <c r="C224" i="4"/>
  <c r="C224" i="3"/>
  <c r="A225" i="2"/>
  <c r="A225" i="4"/>
  <c r="A225" i="3"/>
  <c r="C228" i="2"/>
  <c r="C228" i="4"/>
  <c r="C228" i="3"/>
  <c r="A229" i="2"/>
  <c r="A229" i="4"/>
  <c r="A229" i="3"/>
  <c r="C232" i="2"/>
  <c r="C232" i="4"/>
  <c r="C232" i="3"/>
  <c r="A233" i="2"/>
  <c r="A233" i="4"/>
  <c r="A233" i="3"/>
  <c r="C236" i="2"/>
  <c r="C236" i="4"/>
  <c r="C236" i="3"/>
  <c r="A237" i="2"/>
  <c r="A237" i="4"/>
  <c r="A237" i="3"/>
  <c r="C240" i="2"/>
  <c r="C240" i="4"/>
  <c r="C240" i="3"/>
  <c r="A241" i="2"/>
  <c r="A241" i="4"/>
  <c r="A241" i="3"/>
  <c r="C244" i="2"/>
  <c r="C244" i="4"/>
  <c r="C244" i="3"/>
  <c r="A245" i="2"/>
  <c r="A245" i="4"/>
  <c r="A245" i="3"/>
  <c r="C248" i="2"/>
  <c r="C248" i="4"/>
  <c r="C248" i="3"/>
  <c r="A249" i="2"/>
  <c r="A249" i="4"/>
  <c r="A249" i="3"/>
  <c r="C252" i="2"/>
  <c r="C252" i="4"/>
  <c r="C252" i="3"/>
  <c r="A253" i="2"/>
  <c r="A253" i="4"/>
  <c r="A253" i="3"/>
  <c r="C256" i="2"/>
  <c r="C256" i="4"/>
  <c r="C256" i="3"/>
  <c r="A257" i="2"/>
  <c r="A257" i="4"/>
  <c r="A257" i="3"/>
  <c r="C260" i="2"/>
  <c r="C260" i="4"/>
  <c r="C260" i="3"/>
  <c r="A261" i="2"/>
  <c r="A261" i="4"/>
  <c r="A261" i="3"/>
  <c r="C264" i="2"/>
  <c r="C264" i="4"/>
  <c r="C264" i="3"/>
  <c r="A265" i="2"/>
  <c r="A265" i="4"/>
  <c r="A265" i="3"/>
  <c r="C268" i="2"/>
  <c r="C268" i="4"/>
  <c r="C268" i="3"/>
  <c r="A269" i="2"/>
  <c r="A269" i="4"/>
  <c r="A269" i="3"/>
  <c r="C272" i="2"/>
  <c r="C272" i="4"/>
  <c r="C272" i="3"/>
  <c r="A273" i="2"/>
  <c r="A273" i="4"/>
  <c r="A273" i="3"/>
  <c r="C276" i="2"/>
  <c r="C276" i="4"/>
  <c r="C276" i="3"/>
  <c r="A277" i="2"/>
  <c r="A277" i="4"/>
  <c r="A277" i="3"/>
  <c r="C280" i="2"/>
  <c r="C280" i="4"/>
  <c r="C280" i="3"/>
  <c r="A281" i="2"/>
  <c r="A281" i="4"/>
  <c r="A281" i="3"/>
  <c r="C284" i="2"/>
  <c r="C284" i="4"/>
  <c r="C284" i="3"/>
  <c r="A285" i="2"/>
  <c r="A285" i="4"/>
  <c r="A285" i="3"/>
  <c r="C288" i="2"/>
  <c r="C288" i="4"/>
  <c r="C288" i="3"/>
  <c r="A289" i="2"/>
  <c r="A289" i="4"/>
  <c r="A289" i="3"/>
  <c r="C292" i="2"/>
  <c r="C292" i="4"/>
  <c r="C292" i="3"/>
  <c r="A293" i="2"/>
  <c r="A293" i="4"/>
  <c r="A293" i="3"/>
  <c r="C296" i="2"/>
  <c r="C296" i="4"/>
  <c r="C296" i="3"/>
  <c r="A297" i="2"/>
  <c r="A297" i="4"/>
  <c r="A297" i="3"/>
  <c r="C300" i="2"/>
  <c r="C300" i="4"/>
  <c r="C300" i="3"/>
  <c r="A301" i="2"/>
  <c r="A301" i="4"/>
  <c r="A301" i="3"/>
  <c r="C304" i="2"/>
  <c r="C304" i="4"/>
  <c r="C304" i="3"/>
  <c r="A305" i="2"/>
  <c r="A305" i="4"/>
  <c r="A305" i="3"/>
  <c r="B9" i="2"/>
  <c r="B9" i="4"/>
  <c r="B9" i="3"/>
  <c r="D12" i="2"/>
  <c r="B13" i="2"/>
  <c r="B13" i="4"/>
  <c r="B13" i="3"/>
  <c r="D16" i="2"/>
  <c r="B17" i="2"/>
  <c r="B17" i="4"/>
  <c r="B17" i="3"/>
  <c r="D20" i="2"/>
  <c r="B21" i="2"/>
  <c r="B21" i="4"/>
  <c r="B21" i="3"/>
  <c r="D24" i="2"/>
  <c r="B25" i="2"/>
  <c r="B25" i="4"/>
  <c r="B25" i="3"/>
  <c r="D28" i="2"/>
  <c r="B29" i="2"/>
  <c r="B29" i="4"/>
  <c r="B29" i="3"/>
  <c r="D32" i="2"/>
  <c r="B33" i="2"/>
  <c r="B33" i="4"/>
  <c r="B33" i="3"/>
  <c r="D36" i="2"/>
  <c r="B37" i="2"/>
  <c r="B37" i="4"/>
  <c r="B37" i="3"/>
  <c r="D40" i="2"/>
  <c r="B41" i="2"/>
  <c r="B41" i="4"/>
  <c r="B41" i="3"/>
  <c r="D44" i="2"/>
  <c r="B45" i="2"/>
  <c r="B45" i="4"/>
  <c r="B45" i="3"/>
  <c r="D48" i="2"/>
  <c r="B49" i="2"/>
  <c r="B49" i="4"/>
  <c r="B49" i="3"/>
  <c r="D52" i="2"/>
  <c r="B53" i="2"/>
  <c r="B53" i="4"/>
  <c r="B53" i="3"/>
  <c r="D56" i="2"/>
  <c r="B57" i="2"/>
  <c r="B57" i="4"/>
  <c r="B57" i="3"/>
  <c r="D60" i="2"/>
  <c r="B61" i="2"/>
  <c r="B61" i="4"/>
  <c r="B61" i="3"/>
  <c r="D64" i="2"/>
  <c r="B65" i="2"/>
  <c r="B65" i="4"/>
  <c r="B65" i="3"/>
  <c r="D68" i="2"/>
  <c r="B69" i="2"/>
  <c r="B69" i="4"/>
  <c r="B69" i="3"/>
  <c r="D72" i="2"/>
  <c r="B73" i="2"/>
  <c r="B73" i="4"/>
  <c r="B73" i="3"/>
  <c r="D76" i="2"/>
  <c r="B77" i="2"/>
  <c r="B77" i="4"/>
  <c r="B77" i="3"/>
  <c r="D80" i="2"/>
  <c r="B81" i="2"/>
  <c r="B81" i="4"/>
  <c r="B81" i="3"/>
  <c r="D84" i="2"/>
  <c r="B85" i="2"/>
  <c r="B85" i="4"/>
  <c r="B85" i="3"/>
  <c r="D88" i="2"/>
  <c r="B89" i="2"/>
  <c r="B89" i="4"/>
  <c r="B89" i="3"/>
  <c r="D92" i="2"/>
  <c r="B93" i="2"/>
  <c r="B93" i="4"/>
  <c r="B93" i="3"/>
  <c r="D96" i="2"/>
  <c r="B97" i="2"/>
  <c r="B97" i="4"/>
  <c r="B97" i="3"/>
  <c r="D100" i="2"/>
  <c r="B101" i="2"/>
  <c r="B101" i="4"/>
  <c r="B101" i="3"/>
  <c r="D104" i="2"/>
  <c r="B105" i="2"/>
  <c r="B105" i="4"/>
  <c r="B105" i="3"/>
  <c r="D108" i="2"/>
  <c r="B109" i="2"/>
  <c r="B109" i="4"/>
  <c r="B109" i="3"/>
  <c r="D112" i="2"/>
  <c r="B113" i="2"/>
  <c r="B113" i="4"/>
  <c r="B113" i="3"/>
  <c r="D116" i="2"/>
  <c r="B117" i="2"/>
  <c r="B117" i="4"/>
  <c r="B117" i="3"/>
  <c r="D120" i="2"/>
  <c r="B121" i="2"/>
  <c r="B121" i="4"/>
  <c r="B121" i="3"/>
  <c r="D124" i="2"/>
  <c r="B125" i="2"/>
  <c r="B125" i="4"/>
  <c r="B125" i="3"/>
  <c r="D128" i="2"/>
  <c r="B129" i="2"/>
  <c r="B129" i="4"/>
  <c r="B129" i="3"/>
  <c r="D132" i="2"/>
  <c r="B133" i="2"/>
  <c r="B133" i="4"/>
  <c r="B133" i="3"/>
  <c r="D136" i="2"/>
  <c r="B137" i="2"/>
  <c r="B137" i="4"/>
  <c r="B137" i="3"/>
  <c r="D140" i="2"/>
  <c r="B141" i="2"/>
  <c r="B141" i="4"/>
  <c r="B141" i="3"/>
  <c r="D144" i="2"/>
  <c r="B145" i="2"/>
  <c r="B145" i="4"/>
  <c r="B145" i="3"/>
  <c r="D148" i="2"/>
  <c r="B149" i="2"/>
  <c r="B149" i="4"/>
  <c r="B149" i="3"/>
  <c r="D152" i="2"/>
  <c r="B153" i="2"/>
  <c r="B153" i="4"/>
  <c r="B153" i="3"/>
  <c r="D156" i="2"/>
  <c r="B157" i="2"/>
  <c r="B157" i="4"/>
  <c r="B157" i="3"/>
  <c r="D160" i="2"/>
  <c r="B161" i="2"/>
  <c r="B161" i="4"/>
  <c r="B161" i="3"/>
  <c r="D164" i="2"/>
  <c r="B165" i="2"/>
  <c r="B165" i="4"/>
  <c r="B165" i="3"/>
  <c r="D168" i="2"/>
  <c r="B169" i="2"/>
  <c r="B169" i="4"/>
  <c r="B169" i="3"/>
  <c r="D172" i="2"/>
  <c r="B173" i="2"/>
  <c r="B173" i="4"/>
  <c r="B173" i="3"/>
  <c r="D176" i="2"/>
  <c r="B177" i="2"/>
  <c r="B177" i="4"/>
  <c r="B177" i="3"/>
  <c r="D180" i="2"/>
  <c r="B181" i="2"/>
  <c r="B181" i="4"/>
  <c r="B181" i="3"/>
  <c r="D184" i="2"/>
  <c r="B185" i="2"/>
  <c r="B185" i="4"/>
  <c r="B185" i="3"/>
  <c r="D188" i="2"/>
  <c r="B189" i="2"/>
  <c r="B189" i="4"/>
  <c r="B189" i="3"/>
  <c r="D192" i="2"/>
  <c r="B193" i="2"/>
  <c r="B193" i="4"/>
  <c r="B193" i="3"/>
  <c r="D196" i="2"/>
  <c r="B197" i="2"/>
  <c r="B197" i="4"/>
  <c r="B197" i="3"/>
  <c r="D200" i="2"/>
  <c r="B201" i="2"/>
  <c r="B201" i="4"/>
  <c r="B201" i="3"/>
  <c r="D204" i="2"/>
  <c r="B205" i="2"/>
  <c r="B205" i="4"/>
  <c r="B205" i="3"/>
  <c r="D208" i="2"/>
  <c r="B209" i="2"/>
  <c r="B209" i="4"/>
  <c r="B209" i="3"/>
  <c r="D212" i="2"/>
  <c r="B213" i="2"/>
  <c r="B213" i="4"/>
  <c r="B213" i="3"/>
  <c r="D216" i="2"/>
  <c r="B217" i="2"/>
  <c r="B217" i="4"/>
  <c r="B217" i="3"/>
  <c r="D220" i="2"/>
  <c r="B221" i="2"/>
  <c r="B221" i="4"/>
  <c r="B221" i="3"/>
  <c r="D224" i="2"/>
  <c r="B225" i="2"/>
  <c r="B225" i="4"/>
  <c r="B225" i="3"/>
  <c r="D228" i="2"/>
  <c r="B229" i="2"/>
  <c r="B229" i="4"/>
  <c r="B229" i="3"/>
  <c r="D232" i="2"/>
  <c r="B233" i="2"/>
  <c r="B233" i="4"/>
  <c r="B233" i="3"/>
  <c r="D236" i="2"/>
  <c r="B237" i="2"/>
  <c r="B237" i="4"/>
  <c r="B237" i="3"/>
  <c r="D240" i="2"/>
  <c r="B241" i="2"/>
  <c r="B241" i="4"/>
  <c r="B241" i="3"/>
  <c r="D244" i="2"/>
  <c r="B245" i="2"/>
  <c r="B245" i="4"/>
  <c r="B245" i="3"/>
  <c r="D248" i="2"/>
  <c r="B249" i="2"/>
  <c r="B249" i="4"/>
  <c r="B249" i="3"/>
  <c r="D252" i="2"/>
  <c r="B253" i="2"/>
  <c r="B253" i="4"/>
  <c r="B253" i="3"/>
  <c r="D256" i="2"/>
  <c r="B257" i="2"/>
  <c r="B257" i="4"/>
  <c r="B257" i="3"/>
  <c r="D260" i="2"/>
  <c r="B261" i="2"/>
  <c r="B261" i="4"/>
  <c r="B261" i="3"/>
  <c r="D264" i="2"/>
  <c r="B265" i="2"/>
  <c r="B265" i="4"/>
  <c r="B265" i="3"/>
  <c r="D268" i="2"/>
  <c r="B269" i="2"/>
  <c r="B269" i="4"/>
  <c r="B269" i="3"/>
  <c r="D272" i="2"/>
  <c r="B273" i="2"/>
  <c r="B273" i="4"/>
  <c r="B273" i="3"/>
  <c r="D276" i="2"/>
  <c r="B277" i="2"/>
  <c r="B277" i="4"/>
  <c r="B277" i="3"/>
  <c r="D280" i="2"/>
  <c r="B281" i="2"/>
  <c r="B281" i="4"/>
  <c r="B281" i="3"/>
  <c r="D284" i="2"/>
  <c r="B285" i="2"/>
  <c r="B285" i="4"/>
  <c r="B285" i="3"/>
  <c r="D288" i="2"/>
  <c r="B289" i="2"/>
  <c r="B289" i="4"/>
  <c r="B289" i="3"/>
  <c r="D292" i="2"/>
  <c r="B293" i="2"/>
  <c r="B293" i="4"/>
  <c r="B293" i="3"/>
  <c r="D296" i="2"/>
  <c r="B297" i="2"/>
  <c r="B297" i="4"/>
  <c r="B297" i="3"/>
  <c r="D300" i="2"/>
  <c r="B301" i="2"/>
  <c r="B301" i="4"/>
  <c r="B301" i="3"/>
  <c r="D304" i="2"/>
  <c r="B305" i="2"/>
  <c r="B305" i="4"/>
  <c r="B305" i="3"/>
  <c r="C8" i="2"/>
  <c r="C8" i="4"/>
  <c r="C8" i="3"/>
  <c r="S308" i="53"/>
  <c r="T308" i="53"/>
  <c r="Y308" i="53"/>
  <c r="L308" i="53"/>
  <c r="F308" i="53"/>
  <c r="H308" i="53"/>
  <c r="P308" i="53"/>
  <c r="G308" i="53"/>
  <c r="O308" i="53"/>
  <c r="I308" i="53"/>
  <c r="Q308" i="53"/>
  <c r="J308" i="53"/>
  <c r="R308" i="53"/>
  <c r="C308" i="53"/>
  <c r="K308" i="53"/>
  <c r="M308" i="53"/>
  <c r="N8" i="53" l="1"/>
  <c r="W8" i="53" s="1"/>
  <c r="E28" i="57"/>
  <c r="E27" i="57"/>
  <c r="N9" i="53"/>
  <c r="N17" i="53"/>
  <c r="N25" i="53"/>
  <c r="N33" i="53"/>
  <c r="N41" i="53"/>
  <c r="N49" i="53"/>
  <c r="N57" i="53"/>
  <c r="N65" i="53"/>
  <c r="N73" i="53"/>
  <c r="N81" i="53"/>
  <c r="N89" i="53"/>
  <c r="N97" i="53"/>
  <c r="N105" i="53"/>
  <c r="N113" i="53"/>
  <c r="N121" i="53"/>
  <c r="N129" i="53"/>
  <c r="N137" i="53"/>
  <c r="N145" i="53"/>
  <c r="N153" i="53"/>
  <c r="N161" i="53"/>
  <c r="N169" i="53"/>
  <c r="N177" i="53"/>
  <c r="N185" i="53"/>
  <c r="N193" i="53"/>
  <c r="N201" i="53"/>
  <c r="N209" i="53"/>
  <c r="N217" i="53"/>
  <c r="N225" i="53"/>
  <c r="N233" i="53"/>
  <c r="N241" i="53"/>
  <c r="N249" i="53"/>
  <c r="N257" i="53"/>
  <c r="N265" i="53"/>
  <c r="N273" i="53"/>
  <c r="N281" i="53"/>
  <c r="N289" i="53"/>
  <c r="N297" i="53"/>
  <c r="N305" i="53"/>
  <c r="N64" i="53"/>
  <c r="N152" i="53"/>
  <c r="N208" i="53"/>
  <c r="N248" i="53"/>
  <c r="N304" i="53"/>
  <c r="N10" i="53"/>
  <c r="N18" i="53"/>
  <c r="N26" i="53"/>
  <c r="N34" i="53"/>
  <c r="N42" i="53"/>
  <c r="N50" i="53"/>
  <c r="N58" i="53"/>
  <c r="N66" i="53"/>
  <c r="N74" i="53"/>
  <c r="N82" i="53"/>
  <c r="N90" i="53"/>
  <c r="N98" i="53"/>
  <c r="N106" i="53"/>
  <c r="N114" i="53"/>
  <c r="D14" i="59" s="1"/>
  <c r="N122" i="53"/>
  <c r="N130" i="53"/>
  <c r="N138" i="53"/>
  <c r="N146" i="53"/>
  <c r="N154" i="53"/>
  <c r="N162" i="53"/>
  <c r="N170" i="53"/>
  <c r="N178" i="53"/>
  <c r="N186" i="53"/>
  <c r="N194" i="53"/>
  <c r="N202" i="53"/>
  <c r="N210" i="53"/>
  <c r="N218" i="53"/>
  <c r="N226" i="53"/>
  <c r="N234" i="53"/>
  <c r="N242" i="53"/>
  <c r="N250" i="53"/>
  <c r="N258" i="53"/>
  <c r="N266" i="53"/>
  <c r="N274" i="53"/>
  <c r="N282" i="53"/>
  <c r="N290" i="53"/>
  <c r="N298" i="53"/>
  <c r="N306" i="53"/>
  <c r="N48" i="53"/>
  <c r="N112" i="53"/>
  <c r="N168" i="53"/>
  <c r="N224" i="53"/>
  <c r="N296" i="53"/>
  <c r="N11" i="53"/>
  <c r="N19" i="53"/>
  <c r="N27" i="53"/>
  <c r="N35" i="53"/>
  <c r="N43" i="53"/>
  <c r="N51" i="53"/>
  <c r="N59" i="53"/>
  <c r="N67" i="53"/>
  <c r="N75" i="53"/>
  <c r="N83" i="53"/>
  <c r="N91" i="53"/>
  <c r="N99" i="53"/>
  <c r="N107" i="53"/>
  <c r="N115" i="53"/>
  <c r="N123" i="53"/>
  <c r="N131" i="53"/>
  <c r="N139" i="53"/>
  <c r="N147" i="53"/>
  <c r="N155" i="53"/>
  <c r="N163" i="53"/>
  <c r="N171" i="53"/>
  <c r="N179" i="53"/>
  <c r="N187" i="53"/>
  <c r="N195" i="53"/>
  <c r="N203" i="53"/>
  <c r="N211" i="53"/>
  <c r="N219" i="53"/>
  <c r="N227" i="53"/>
  <c r="N235" i="53"/>
  <c r="N243" i="53"/>
  <c r="N251" i="53"/>
  <c r="N259" i="53"/>
  <c r="N267" i="53"/>
  <c r="N275" i="53"/>
  <c r="N283" i="53"/>
  <c r="N291" i="53"/>
  <c r="N299" i="53"/>
  <c r="N307" i="53"/>
  <c r="N56" i="53"/>
  <c r="N96" i="53"/>
  <c r="N160" i="53"/>
  <c r="N192" i="53"/>
  <c r="N240" i="53"/>
  <c r="N280" i="53"/>
  <c r="N12" i="53"/>
  <c r="N20" i="53"/>
  <c r="N28" i="53"/>
  <c r="N36" i="53"/>
  <c r="N44" i="53"/>
  <c r="N52" i="53"/>
  <c r="N60" i="53"/>
  <c r="N68" i="53"/>
  <c r="N76" i="53"/>
  <c r="N84" i="53"/>
  <c r="N92" i="53"/>
  <c r="N100" i="53"/>
  <c r="N108" i="53"/>
  <c r="N116" i="53"/>
  <c r="N124" i="53"/>
  <c r="N132" i="53"/>
  <c r="N140" i="53"/>
  <c r="N148" i="53"/>
  <c r="N156" i="53"/>
  <c r="N164" i="53"/>
  <c r="N172" i="53"/>
  <c r="N180" i="53"/>
  <c r="N188" i="53"/>
  <c r="N196" i="53"/>
  <c r="N204" i="53"/>
  <c r="N212" i="53"/>
  <c r="N220" i="53"/>
  <c r="N228" i="53"/>
  <c r="N236" i="53"/>
  <c r="N244" i="53"/>
  <c r="N252" i="53"/>
  <c r="N260" i="53"/>
  <c r="N268" i="53"/>
  <c r="N276" i="53"/>
  <c r="N284" i="53"/>
  <c r="N292" i="53"/>
  <c r="N300" i="53"/>
  <c r="N40" i="53"/>
  <c r="N120" i="53"/>
  <c r="N176" i="53"/>
  <c r="N232" i="53"/>
  <c r="N272" i="53"/>
  <c r="N13" i="53"/>
  <c r="N21" i="53"/>
  <c r="N29" i="53"/>
  <c r="N37" i="53"/>
  <c r="N45" i="53"/>
  <c r="N53" i="53"/>
  <c r="N61" i="53"/>
  <c r="N69" i="53"/>
  <c r="N77" i="53"/>
  <c r="N85" i="53"/>
  <c r="N93" i="53"/>
  <c r="N101" i="53"/>
  <c r="N109" i="53"/>
  <c r="N117" i="53"/>
  <c r="N125" i="53"/>
  <c r="N133" i="53"/>
  <c r="N141" i="53"/>
  <c r="N149" i="53"/>
  <c r="N157" i="53"/>
  <c r="N165" i="53"/>
  <c r="N173" i="53"/>
  <c r="N181" i="53"/>
  <c r="N189" i="53"/>
  <c r="N197" i="53"/>
  <c r="N205" i="53"/>
  <c r="N213" i="53"/>
  <c r="N221" i="53"/>
  <c r="N229" i="53"/>
  <c r="N237" i="53"/>
  <c r="N245" i="53"/>
  <c r="N253" i="53"/>
  <c r="N261" i="53"/>
  <c r="N269" i="53"/>
  <c r="N277" i="53"/>
  <c r="N285" i="53"/>
  <c r="N293" i="53"/>
  <c r="N301" i="53"/>
  <c r="N32" i="53"/>
  <c r="N14" i="53"/>
  <c r="N22" i="53"/>
  <c r="N30" i="53"/>
  <c r="N38" i="53"/>
  <c r="N46" i="53"/>
  <c r="N54" i="53"/>
  <c r="N62" i="53"/>
  <c r="N70" i="53"/>
  <c r="N78" i="53"/>
  <c r="N86" i="53"/>
  <c r="N94" i="53"/>
  <c r="N102" i="53"/>
  <c r="N110" i="53"/>
  <c r="N118" i="53"/>
  <c r="N126" i="53"/>
  <c r="N134" i="53"/>
  <c r="N142" i="53"/>
  <c r="N150" i="53"/>
  <c r="N158" i="53"/>
  <c r="N166" i="53"/>
  <c r="N174" i="53"/>
  <c r="N182" i="53"/>
  <c r="N190" i="53"/>
  <c r="N198" i="53"/>
  <c r="N206" i="53"/>
  <c r="N214" i="53"/>
  <c r="N222" i="53"/>
  <c r="N230" i="53"/>
  <c r="N238" i="53"/>
  <c r="N246" i="53"/>
  <c r="N254" i="53"/>
  <c r="N262" i="53"/>
  <c r="N270" i="53"/>
  <c r="N278" i="53"/>
  <c r="N286" i="53"/>
  <c r="N294" i="53"/>
  <c r="N302" i="53"/>
  <c r="N24" i="53"/>
  <c r="N144" i="53"/>
  <c r="N216" i="53"/>
  <c r="N288" i="53"/>
  <c r="N15" i="53"/>
  <c r="N23" i="53"/>
  <c r="N31" i="53"/>
  <c r="N39" i="53"/>
  <c r="N47" i="53"/>
  <c r="N55" i="53"/>
  <c r="N63" i="53"/>
  <c r="N71" i="53"/>
  <c r="N79" i="53"/>
  <c r="N87" i="53"/>
  <c r="N95" i="53"/>
  <c r="N103" i="53"/>
  <c r="N111" i="53"/>
  <c r="N119" i="53"/>
  <c r="N127" i="53"/>
  <c r="N135" i="53"/>
  <c r="N143" i="53"/>
  <c r="N151" i="53"/>
  <c r="N159" i="53"/>
  <c r="N167" i="53"/>
  <c r="N175" i="53"/>
  <c r="N183" i="53"/>
  <c r="N191" i="53"/>
  <c r="N199" i="53"/>
  <c r="N207" i="53"/>
  <c r="N215" i="53"/>
  <c r="N223" i="53"/>
  <c r="N231" i="53"/>
  <c r="N239" i="53"/>
  <c r="N247" i="53"/>
  <c r="N255" i="53"/>
  <c r="N263" i="53"/>
  <c r="N271" i="53"/>
  <c r="N279" i="53"/>
  <c r="N287" i="53"/>
  <c r="N295" i="53"/>
  <c r="N303" i="53"/>
  <c r="N16" i="53"/>
  <c r="N128" i="53"/>
  <c r="N200" i="53"/>
  <c r="N264" i="53"/>
  <c r="N72" i="53"/>
  <c r="N80" i="53"/>
  <c r="N88" i="53"/>
  <c r="N104" i="53"/>
  <c r="N136" i="53"/>
  <c r="N184" i="53"/>
  <c r="N256" i="53"/>
  <c r="G4" i="45"/>
  <c r="B37" i="45" s="1"/>
  <c r="G27" i="45"/>
  <c r="G25" i="45"/>
  <c r="N14" i="45"/>
  <c r="N6" i="45"/>
  <c r="N17" i="45"/>
  <c r="F223" i="29"/>
  <c r="G223" i="29"/>
  <c r="H223" i="29"/>
  <c r="J223" i="29"/>
  <c r="K223" i="29"/>
  <c r="E223" i="29"/>
  <c r="I223" i="29"/>
  <c r="O223" i="29"/>
  <c r="D223" i="29"/>
  <c r="G47" i="29"/>
  <c r="H47" i="29"/>
  <c r="I47" i="29"/>
  <c r="J47" i="29"/>
  <c r="D47" i="29"/>
  <c r="O47" i="29"/>
  <c r="E47" i="29"/>
  <c r="K47" i="29"/>
  <c r="F47" i="29"/>
  <c r="J214" i="29"/>
  <c r="K214" i="29"/>
  <c r="G214" i="29"/>
  <c r="I214" i="29"/>
  <c r="D214" i="29"/>
  <c r="E214" i="29"/>
  <c r="F214" i="29"/>
  <c r="H214" i="29"/>
  <c r="O214" i="29"/>
  <c r="I86" i="29"/>
  <c r="J86" i="29"/>
  <c r="K86" i="29"/>
  <c r="D86" i="29"/>
  <c r="E86" i="29"/>
  <c r="G86" i="29"/>
  <c r="F86" i="29"/>
  <c r="H86" i="29"/>
  <c r="O86" i="29"/>
  <c r="D225" i="29"/>
  <c r="F225" i="29"/>
  <c r="G225" i="29"/>
  <c r="H225" i="29"/>
  <c r="J225" i="29"/>
  <c r="K225" i="29"/>
  <c r="E225" i="29"/>
  <c r="I225" i="29"/>
  <c r="O225" i="29"/>
  <c r="J193" i="29"/>
  <c r="K193" i="29"/>
  <c r="G193" i="29"/>
  <c r="D193" i="29"/>
  <c r="E193" i="29"/>
  <c r="F193" i="29"/>
  <c r="I193" i="29"/>
  <c r="H193" i="29"/>
  <c r="O193" i="29"/>
  <c r="F49" i="29"/>
  <c r="G49" i="29"/>
  <c r="H49" i="29"/>
  <c r="I49" i="29"/>
  <c r="J49" i="29"/>
  <c r="D49" i="29"/>
  <c r="E49" i="29"/>
  <c r="K49" i="29"/>
  <c r="O49" i="29"/>
  <c r="G282" i="29"/>
  <c r="H282" i="29"/>
  <c r="I282" i="29"/>
  <c r="J282" i="29"/>
  <c r="D282" i="29"/>
  <c r="K282" i="29"/>
  <c r="E282" i="29"/>
  <c r="F282" i="29"/>
  <c r="O282" i="29"/>
  <c r="F296" i="29"/>
  <c r="G296" i="29"/>
  <c r="H296" i="29"/>
  <c r="I296" i="29"/>
  <c r="J296" i="29"/>
  <c r="K296" i="29"/>
  <c r="D296" i="29"/>
  <c r="E296" i="29"/>
  <c r="F280" i="29"/>
  <c r="G280" i="29"/>
  <c r="H280" i="29"/>
  <c r="I280" i="29"/>
  <c r="J280" i="29"/>
  <c r="D280" i="29"/>
  <c r="K280" i="29"/>
  <c r="E280" i="29"/>
  <c r="F264" i="29"/>
  <c r="G264" i="29"/>
  <c r="H264" i="29"/>
  <c r="I264" i="29"/>
  <c r="J264" i="29"/>
  <c r="K264" i="29"/>
  <c r="D264" i="29"/>
  <c r="E264" i="29"/>
  <c r="O264" i="29"/>
  <c r="D248" i="29"/>
  <c r="G248" i="29"/>
  <c r="I248" i="29"/>
  <c r="J248" i="29"/>
  <c r="K248" i="29"/>
  <c r="F248" i="29"/>
  <c r="E248" i="29"/>
  <c r="H248" i="29"/>
  <c r="O248" i="29"/>
  <c r="D232" i="29"/>
  <c r="F232" i="29"/>
  <c r="G232" i="29"/>
  <c r="H232" i="29"/>
  <c r="E232" i="29"/>
  <c r="I232" i="29"/>
  <c r="J232" i="29"/>
  <c r="K232" i="29"/>
  <c r="O232" i="29"/>
  <c r="D216" i="29"/>
  <c r="F216" i="29"/>
  <c r="G216" i="29"/>
  <c r="H216" i="29"/>
  <c r="I216" i="29"/>
  <c r="E216" i="29"/>
  <c r="J216" i="29"/>
  <c r="K216" i="29"/>
  <c r="O216" i="29"/>
  <c r="K204" i="29"/>
  <c r="G204" i="29"/>
  <c r="D204" i="29"/>
  <c r="E204" i="29"/>
  <c r="F204" i="29"/>
  <c r="H204" i="29"/>
  <c r="I204" i="29"/>
  <c r="O204" i="29"/>
  <c r="J204" i="29"/>
  <c r="J200" i="29"/>
  <c r="K200" i="29"/>
  <c r="G200" i="29"/>
  <c r="F200" i="29"/>
  <c r="I200" i="29"/>
  <c r="D200" i="29"/>
  <c r="E200" i="29"/>
  <c r="H200" i="29"/>
  <c r="O200" i="29"/>
  <c r="J184" i="29"/>
  <c r="K184" i="29"/>
  <c r="D184" i="29"/>
  <c r="G184" i="29"/>
  <c r="E184" i="29"/>
  <c r="H184" i="29"/>
  <c r="I184" i="29"/>
  <c r="F184" i="29"/>
  <c r="O184" i="29"/>
  <c r="I168" i="29"/>
  <c r="J168" i="29"/>
  <c r="K168" i="29"/>
  <c r="D168" i="29"/>
  <c r="G168" i="29"/>
  <c r="E168" i="29"/>
  <c r="F168" i="29"/>
  <c r="H168" i="29"/>
  <c r="O168" i="29"/>
  <c r="I152" i="29"/>
  <c r="J152" i="29"/>
  <c r="K152" i="29"/>
  <c r="D152" i="29"/>
  <c r="G152" i="29"/>
  <c r="E152" i="29"/>
  <c r="F152" i="29"/>
  <c r="H152" i="29"/>
  <c r="I136" i="29"/>
  <c r="J136" i="29"/>
  <c r="K136" i="29"/>
  <c r="D136" i="29"/>
  <c r="G136" i="29"/>
  <c r="E136" i="29"/>
  <c r="F136" i="29"/>
  <c r="H136" i="29"/>
  <c r="O136" i="29"/>
  <c r="I104" i="29"/>
  <c r="J104" i="29"/>
  <c r="K104" i="29"/>
  <c r="D104" i="29"/>
  <c r="E104" i="29"/>
  <c r="G104" i="29"/>
  <c r="F104" i="29"/>
  <c r="H104" i="29"/>
  <c r="O104" i="29"/>
  <c r="I88" i="29"/>
  <c r="J88" i="29"/>
  <c r="K88" i="29"/>
  <c r="D88" i="29"/>
  <c r="E88" i="29"/>
  <c r="G88" i="29"/>
  <c r="F88" i="29"/>
  <c r="H88" i="29"/>
  <c r="O88" i="29"/>
  <c r="I72" i="29"/>
  <c r="J72" i="29"/>
  <c r="K72" i="29"/>
  <c r="D72" i="29"/>
  <c r="E72" i="29"/>
  <c r="G72" i="29"/>
  <c r="F72" i="29"/>
  <c r="H72" i="29"/>
  <c r="O72" i="29"/>
  <c r="F56" i="29"/>
  <c r="D56" i="29"/>
  <c r="E56" i="29"/>
  <c r="I56" i="29"/>
  <c r="J56" i="29"/>
  <c r="K56" i="29"/>
  <c r="G56" i="29"/>
  <c r="H56" i="29"/>
  <c r="O56" i="29"/>
  <c r="F40" i="29"/>
  <c r="G40" i="29"/>
  <c r="H40" i="29"/>
  <c r="I40" i="29"/>
  <c r="J40" i="29"/>
  <c r="D40" i="29"/>
  <c r="E40" i="29"/>
  <c r="K40" i="29"/>
  <c r="O40" i="29"/>
  <c r="F24" i="29"/>
  <c r="G24" i="29"/>
  <c r="H24" i="29"/>
  <c r="I24" i="29"/>
  <c r="J24" i="29"/>
  <c r="D24" i="29"/>
  <c r="E24" i="29"/>
  <c r="K24" i="29"/>
  <c r="O24" i="29"/>
  <c r="G303" i="29"/>
  <c r="H303" i="29"/>
  <c r="I303" i="29"/>
  <c r="J303" i="29"/>
  <c r="D303" i="29"/>
  <c r="K303" i="29"/>
  <c r="E303" i="29"/>
  <c r="O303" i="29"/>
  <c r="F303" i="29"/>
  <c r="G271" i="29"/>
  <c r="H271" i="29"/>
  <c r="I271" i="29"/>
  <c r="J271" i="29"/>
  <c r="K271" i="29"/>
  <c r="D271" i="29"/>
  <c r="E271" i="29"/>
  <c r="F271" i="29"/>
  <c r="K191" i="29"/>
  <c r="G191" i="29"/>
  <c r="E191" i="29"/>
  <c r="F191" i="29"/>
  <c r="O191" i="29"/>
  <c r="H191" i="29"/>
  <c r="I191" i="29"/>
  <c r="D191" i="29"/>
  <c r="J191" i="29"/>
  <c r="J95" i="29"/>
  <c r="K95" i="29"/>
  <c r="D95" i="29"/>
  <c r="E95" i="29"/>
  <c r="G95" i="29"/>
  <c r="F95" i="29"/>
  <c r="H95" i="29"/>
  <c r="O95" i="29"/>
  <c r="I95" i="29"/>
  <c r="J198" i="29"/>
  <c r="K198" i="29"/>
  <c r="G198" i="29"/>
  <c r="I198" i="29"/>
  <c r="D198" i="29"/>
  <c r="E198" i="29"/>
  <c r="F198" i="29"/>
  <c r="H198" i="29"/>
  <c r="I118" i="29"/>
  <c r="J118" i="29"/>
  <c r="K118" i="29"/>
  <c r="D118" i="29"/>
  <c r="E118" i="29"/>
  <c r="G118" i="29"/>
  <c r="F118" i="29"/>
  <c r="H118" i="29"/>
  <c r="F54" i="29"/>
  <c r="G54" i="29"/>
  <c r="H54" i="29"/>
  <c r="I54" i="29"/>
  <c r="J54" i="29"/>
  <c r="D54" i="29"/>
  <c r="E54" i="29"/>
  <c r="K54" i="29"/>
  <c r="O54" i="29"/>
  <c r="D241" i="29"/>
  <c r="F241" i="29"/>
  <c r="G241" i="29"/>
  <c r="E241" i="29"/>
  <c r="H241" i="29"/>
  <c r="I241" i="29"/>
  <c r="K241" i="29"/>
  <c r="O241" i="29"/>
  <c r="J241" i="29"/>
  <c r="J177" i="29"/>
  <c r="K177" i="29"/>
  <c r="D177" i="29"/>
  <c r="G177" i="29"/>
  <c r="E177" i="29"/>
  <c r="F177" i="29"/>
  <c r="H177" i="29"/>
  <c r="O177" i="29"/>
  <c r="I177" i="29"/>
  <c r="I145" i="29"/>
  <c r="J145" i="29"/>
  <c r="K145" i="29"/>
  <c r="D145" i="29"/>
  <c r="G145" i="29"/>
  <c r="E145" i="29"/>
  <c r="F145" i="29"/>
  <c r="H145" i="29"/>
  <c r="G17" i="29"/>
  <c r="H17" i="29"/>
  <c r="I17" i="29"/>
  <c r="J17" i="29"/>
  <c r="D17" i="29"/>
  <c r="E17" i="29"/>
  <c r="F17" i="29"/>
  <c r="K17" i="29"/>
  <c r="O17" i="29"/>
  <c r="F307" i="29"/>
  <c r="G307" i="29"/>
  <c r="H307" i="29"/>
  <c r="I307" i="29"/>
  <c r="J307" i="29"/>
  <c r="D307" i="29"/>
  <c r="K307" i="29"/>
  <c r="E307" i="29"/>
  <c r="O307" i="29"/>
  <c r="F291" i="29"/>
  <c r="G291" i="29"/>
  <c r="H291" i="29"/>
  <c r="I291" i="29"/>
  <c r="J291" i="29"/>
  <c r="D291" i="29"/>
  <c r="K291" i="29"/>
  <c r="E291" i="29"/>
  <c r="O291" i="29"/>
  <c r="F275" i="29"/>
  <c r="G275" i="29"/>
  <c r="H275" i="29"/>
  <c r="I275" i="29"/>
  <c r="J275" i="29"/>
  <c r="K275" i="29"/>
  <c r="D275" i="29"/>
  <c r="E275" i="29"/>
  <c r="D259" i="29"/>
  <c r="E259" i="29"/>
  <c r="F259" i="29"/>
  <c r="G259" i="29"/>
  <c r="H259" i="29"/>
  <c r="J259" i="29"/>
  <c r="I259" i="29"/>
  <c r="O259" i="29"/>
  <c r="K259" i="29"/>
  <c r="D243" i="29"/>
  <c r="F243" i="29"/>
  <c r="G243" i="29"/>
  <c r="K243" i="29"/>
  <c r="E243" i="29"/>
  <c r="H243" i="29"/>
  <c r="I243" i="29"/>
  <c r="O243" i="29"/>
  <c r="J243" i="29"/>
  <c r="D227" i="29"/>
  <c r="F227" i="29"/>
  <c r="G227" i="29"/>
  <c r="H227" i="29"/>
  <c r="J227" i="29"/>
  <c r="K227" i="29"/>
  <c r="E227" i="29"/>
  <c r="O227" i="29"/>
  <c r="I227" i="29"/>
  <c r="J211" i="29"/>
  <c r="K211" i="29"/>
  <c r="G211" i="29"/>
  <c r="H211" i="29"/>
  <c r="D211" i="29"/>
  <c r="I211" i="29"/>
  <c r="E211" i="29"/>
  <c r="F211" i="29"/>
  <c r="O211" i="29"/>
  <c r="J195" i="29"/>
  <c r="K195" i="29"/>
  <c r="G195" i="29"/>
  <c r="H195" i="29"/>
  <c r="D195" i="29"/>
  <c r="E195" i="29"/>
  <c r="F195" i="29"/>
  <c r="O195" i="29"/>
  <c r="I195" i="29"/>
  <c r="J179" i="29"/>
  <c r="K179" i="29"/>
  <c r="D179" i="29"/>
  <c r="G179" i="29"/>
  <c r="E179" i="29"/>
  <c r="F179" i="29"/>
  <c r="H179" i="29"/>
  <c r="O179" i="29"/>
  <c r="I179" i="29"/>
  <c r="I163" i="29"/>
  <c r="J163" i="29"/>
  <c r="K163" i="29"/>
  <c r="D163" i="29"/>
  <c r="G163" i="29"/>
  <c r="E163" i="29"/>
  <c r="F163" i="29"/>
  <c r="O163" i="29"/>
  <c r="H163" i="29"/>
  <c r="I147" i="29"/>
  <c r="J147" i="29"/>
  <c r="K147" i="29"/>
  <c r="D147" i="29"/>
  <c r="G147" i="29"/>
  <c r="E147" i="29"/>
  <c r="F147" i="29"/>
  <c r="H147" i="29"/>
  <c r="O147" i="29"/>
  <c r="I131" i="29"/>
  <c r="J131" i="29"/>
  <c r="K131" i="29"/>
  <c r="D131" i="29"/>
  <c r="G131" i="29"/>
  <c r="E131" i="29"/>
  <c r="F131" i="29"/>
  <c r="H131" i="29"/>
  <c r="I115" i="29"/>
  <c r="J115" i="29"/>
  <c r="K115" i="29"/>
  <c r="D115" i="29"/>
  <c r="E115" i="29"/>
  <c r="G115" i="29"/>
  <c r="F115" i="29"/>
  <c r="H115" i="29"/>
  <c r="I99" i="29"/>
  <c r="J99" i="29"/>
  <c r="K99" i="29"/>
  <c r="D99" i="29"/>
  <c r="E99" i="29"/>
  <c r="G99" i="29"/>
  <c r="F99" i="29"/>
  <c r="O99" i="29"/>
  <c r="H99" i="29"/>
  <c r="I83" i="29"/>
  <c r="J83" i="29"/>
  <c r="K83" i="29"/>
  <c r="D83" i="29"/>
  <c r="E83" i="29"/>
  <c r="G83" i="29"/>
  <c r="F83" i="29"/>
  <c r="H83" i="29"/>
  <c r="O83" i="29"/>
  <c r="I67" i="29"/>
  <c r="J67" i="29"/>
  <c r="K67" i="29"/>
  <c r="D67" i="29"/>
  <c r="E67" i="29"/>
  <c r="G67" i="29"/>
  <c r="F67" i="29"/>
  <c r="H67" i="29"/>
  <c r="O67" i="29"/>
  <c r="F51" i="29"/>
  <c r="G51" i="29"/>
  <c r="H51" i="29"/>
  <c r="I51" i="29"/>
  <c r="J51" i="29"/>
  <c r="D51" i="29"/>
  <c r="E51" i="29"/>
  <c r="K51" i="29"/>
  <c r="O51" i="29"/>
  <c r="F35" i="29"/>
  <c r="G35" i="29"/>
  <c r="H35" i="29"/>
  <c r="I35" i="29"/>
  <c r="J35" i="29"/>
  <c r="D35" i="29"/>
  <c r="E35" i="29"/>
  <c r="O35" i="29"/>
  <c r="K35" i="29"/>
  <c r="F19" i="29"/>
  <c r="G19" i="29"/>
  <c r="H19" i="29"/>
  <c r="I19" i="29"/>
  <c r="J19" i="29"/>
  <c r="D19" i="29"/>
  <c r="E19" i="29"/>
  <c r="K19" i="29"/>
  <c r="O19" i="29"/>
  <c r="G298" i="29"/>
  <c r="H298" i="29"/>
  <c r="I298" i="29"/>
  <c r="J298" i="29"/>
  <c r="K298" i="29"/>
  <c r="D298" i="29"/>
  <c r="E298" i="29"/>
  <c r="F298" i="29"/>
  <c r="G266" i="29"/>
  <c r="O266" i="29"/>
  <c r="H266" i="29"/>
  <c r="I266" i="29"/>
  <c r="J266" i="29"/>
  <c r="K266" i="29"/>
  <c r="D266" i="29"/>
  <c r="E266" i="29"/>
  <c r="F266" i="29"/>
  <c r="K250" i="29"/>
  <c r="E250" i="29"/>
  <c r="F250" i="29"/>
  <c r="O250" i="29"/>
  <c r="G250" i="29"/>
  <c r="H250" i="29"/>
  <c r="I250" i="29"/>
  <c r="J250" i="29"/>
  <c r="D250" i="29"/>
  <c r="F234" i="29"/>
  <c r="G234" i="29"/>
  <c r="H234" i="29"/>
  <c r="E234" i="29"/>
  <c r="I234" i="29"/>
  <c r="O234" i="29"/>
  <c r="J234" i="29"/>
  <c r="K234" i="29"/>
  <c r="D234" i="29"/>
  <c r="F218" i="29"/>
  <c r="G218" i="29"/>
  <c r="H218" i="29"/>
  <c r="I218" i="29"/>
  <c r="J218" i="29"/>
  <c r="K218" i="29"/>
  <c r="E218" i="29"/>
  <c r="O218" i="29"/>
  <c r="D218" i="29"/>
  <c r="K202" i="29"/>
  <c r="O202" i="29"/>
  <c r="G202" i="29"/>
  <c r="D202" i="29"/>
  <c r="F202" i="29"/>
  <c r="H202" i="29"/>
  <c r="I202" i="29"/>
  <c r="E202" i="29"/>
  <c r="J202" i="29"/>
  <c r="K190" i="29"/>
  <c r="G190" i="29"/>
  <c r="I190" i="29"/>
  <c r="O190" i="29"/>
  <c r="D190" i="29"/>
  <c r="E190" i="29"/>
  <c r="H190" i="29"/>
  <c r="F190" i="29"/>
  <c r="J190" i="29"/>
  <c r="K186" i="29"/>
  <c r="G186" i="29"/>
  <c r="D186" i="29"/>
  <c r="F186" i="29"/>
  <c r="H186" i="29"/>
  <c r="I186" i="29"/>
  <c r="E186" i="29"/>
  <c r="J186" i="29"/>
  <c r="K170" i="29"/>
  <c r="D170" i="29"/>
  <c r="G170" i="29"/>
  <c r="E170" i="29"/>
  <c r="O170" i="29"/>
  <c r="H170" i="29"/>
  <c r="I170" i="29"/>
  <c r="F170" i="29"/>
  <c r="J170" i="29"/>
  <c r="J154" i="29"/>
  <c r="K154" i="29"/>
  <c r="D154" i="29"/>
  <c r="G154" i="29"/>
  <c r="E154" i="29"/>
  <c r="H154" i="29"/>
  <c r="O154" i="29"/>
  <c r="F154" i="29"/>
  <c r="I154" i="29"/>
  <c r="J138" i="29"/>
  <c r="K138" i="29"/>
  <c r="D138" i="29"/>
  <c r="G138" i="29"/>
  <c r="E138" i="29"/>
  <c r="H138" i="29"/>
  <c r="F138" i="29"/>
  <c r="O138" i="29"/>
  <c r="I138" i="29"/>
  <c r="J122" i="29"/>
  <c r="K122" i="29"/>
  <c r="D122" i="29"/>
  <c r="G122" i="29"/>
  <c r="E122" i="29"/>
  <c r="H122" i="29"/>
  <c r="F122" i="29"/>
  <c r="I122" i="29"/>
  <c r="J106" i="29"/>
  <c r="O106" i="29"/>
  <c r="K106" i="29"/>
  <c r="D106" i="29"/>
  <c r="E106" i="29"/>
  <c r="G106" i="29"/>
  <c r="F106" i="29"/>
  <c r="H106" i="29"/>
  <c r="I106" i="29"/>
  <c r="J90" i="29"/>
  <c r="K90" i="29"/>
  <c r="D90" i="29"/>
  <c r="O90" i="29"/>
  <c r="E90" i="29"/>
  <c r="G90" i="29"/>
  <c r="F90" i="29"/>
  <c r="H90" i="29"/>
  <c r="I90" i="29"/>
  <c r="J74" i="29"/>
  <c r="K74" i="29"/>
  <c r="D74" i="29"/>
  <c r="E74" i="29"/>
  <c r="G74" i="29"/>
  <c r="O74" i="29"/>
  <c r="F74" i="29"/>
  <c r="H74" i="29"/>
  <c r="I74" i="29"/>
  <c r="J58" i="29"/>
  <c r="K58" i="29"/>
  <c r="D58" i="29"/>
  <c r="E58" i="29"/>
  <c r="G58" i="29"/>
  <c r="F58" i="29"/>
  <c r="H58" i="29"/>
  <c r="O58" i="29"/>
  <c r="I58" i="29"/>
  <c r="G42" i="29"/>
  <c r="O42" i="29"/>
  <c r="H42" i="29"/>
  <c r="I42" i="29"/>
  <c r="J42" i="29"/>
  <c r="D42" i="29"/>
  <c r="E42" i="29"/>
  <c r="K42" i="29"/>
  <c r="F42" i="29"/>
  <c r="G26" i="29"/>
  <c r="H26" i="29"/>
  <c r="I26" i="29"/>
  <c r="O26" i="29"/>
  <c r="J26" i="29"/>
  <c r="D26" i="29"/>
  <c r="E26" i="29"/>
  <c r="K26" i="29"/>
  <c r="F26" i="29"/>
  <c r="G10" i="29"/>
  <c r="H10" i="29"/>
  <c r="I10" i="29"/>
  <c r="J10" i="29"/>
  <c r="D10" i="29"/>
  <c r="O10" i="29"/>
  <c r="E10" i="29"/>
  <c r="K10" i="29"/>
  <c r="F10" i="29"/>
  <c r="P308" i="21"/>
  <c r="F293" i="29"/>
  <c r="G293" i="29"/>
  <c r="H293" i="29"/>
  <c r="I293" i="29"/>
  <c r="J293" i="29"/>
  <c r="D293" i="29"/>
  <c r="K293" i="29"/>
  <c r="O293" i="29"/>
  <c r="E293" i="29"/>
  <c r="F277" i="29"/>
  <c r="G277" i="29"/>
  <c r="H277" i="29"/>
  <c r="I277" i="29"/>
  <c r="J277" i="29"/>
  <c r="K277" i="29"/>
  <c r="D277" i="29"/>
  <c r="E277" i="29"/>
  <c r="D261" i="29"/>
  <c r="F261" i="29"/>
  <c r="G261" i="29"/>
  <c r="H261" i="29"/>
  <c r="I261" i="29"/>
  <c r="J261" i="29"/>
  <c r="K261" i="29"/>
  <c r="E261" i="29"/>
  <c r="O261" i="29"/>
  <c r="D245" i="29"/>
  <c r="F245" i="29"/>
  <c r="G245" i="29"/>
  <c r="I245" i="29"/>
  <c r="J245" i="29"/>
  <c r="K245" i="29"/>
  <c r="E245" i="29"/>
  <c r="H245" i="29"/>
  <c r="O245" i="29"/>
  <c r="D229" i="29"/>
  <c r="F229" i="29"/>
  <c r="G229" i="29"/>
  <c r="H229" i="29"/>
  <c r="J229" i="29"/>
  <c r="K229" i="29"/>
  <c r="E229" i="29"/>
  <c r="I229" i="29"/>
  <c r="O229" i="29"/>
  <c r="J213" i="29"/>
  <c r="K213" i="29"/>
  <c r="G213" i="29"/>
  <c r="E213" i="29"/>
  <c r="H213" i="29"/>
  <c r="I213" i="29"/>
  <c r="D213" i="29"/>
  <c r="F213" i="29"/>
  <c r="O213" i="29"/>
  <c r="J197" i="29"/>
  <c r="K197" i="29"/>
  <c r="G197" i="29"/>
  <c r="E197" i="29"/>
  <c r="H197" i="29"/>
  <c r="I197" i="29"/>
  <c r="D197" i="29"/>
  <c r="F197" i="29"/>
  <c r="J181" i="29"/>
  <c r="K181" i="29"/>
  <c r="D181" i="29"/>
  <c r="G181" i="29"/>
  <c r="E181" i="29"/>
  <c r="F181" i="29"/>
  <c r="H181" i="29"/>
  <c r="I181" i="29"/>
  <c r="O181" i="29"/>
  <c r="I165" i="29"/>
  <c r="J165" i="29"/>
  <c r="K165" i="29"/>
  <c r="D165" i="29"/>
  <c r="G165" i="29"/>
  <c r="F165" i="29"/>
  <c r="H165" i="29"/>
  <c r="O165" i="29"/>
  <c r="E165" i="29"/>
  <c r="I149" i="29"/>
  <c r="J149" i="29"/>
  <c r="K149" i="29"/>
  <c r="D149" i="29"/>
  <c r="G149" i="29"/>
  <c r="F149" i="29"/>
  <c r="H149" i="29"/>
  <c r="E149" i="29"/>
  <c r="I133" i="29"/>
  <c r="J133" i="29"/>
  <c r="K133" i="29"/>
  <c r="D133" i="29"/>
  <c r="G133" i="29"/>
  <c r="F133" i="29"/>
  <c r="H133" i="29"/>
  <c r="E133" i="29"/>
  <c r="O133" i="29"/>
  <c r="I117" i="29"/>
  <c r="J117" i="29"/>
  <c r="K117" i="29"/>
  <c r="D117" i="29"/>
  <c r="E117" i="29"/>
  <c r="G117" i="29"/>
  <c r="F117" i="29"/>
  <c r="H117" i="29"/>
  <c r="I101" i="29"/>
  <c r="J101" i="29"/>
  <c r="K101" i="29"/>
  <c r="D101" i="29"/>
  <c r="E101" i="29"/>
  <c r="G101" i="29"/>
  <c r="F101" i="29"/>
  <c r="H101" i="29"/>
  <c r="O101" i="29"/>
  <c r="I85" i="29"/>
  <c r="J85" i="29"/>
  <c r="K85" i="29"/>
  <c r="D85" i="29"/>
  <c r="E85" i="29"/>
  <c r="G85" i="29"/>
  <c r="F85" i="29"/>
  <c r="H85" i="29"/>
  <c r="O85" i="29"/>
  <c r="J73" i="29"/>
  <c r="K73" i="29"/>
  <c r="D73" i="29"/>
  <c r="E73" i="29"/>
  <c r="G73" i="29"/>
  <c r="O73" i="29"/>
  <c r="F73" i="29"/>
  <c r="H73" i="29"/>
  <c r="I73" i="29"/>
  <c r="I69" i="29"/>
  <c r="J69" i="29"/>
  <c r="K69" i="29"/>
  <c r="D69" i="29"/>
  <c r="E69" i="29"/>
  <c r="G69" i="29"/>
  <c r="F69" i="29"/>
  <c r="H69" i="29"/>
  <c r="O69" i="29"/>
  <c r="I57" i="29"/>
  <c r="J57" i="29"/>
  <c r="K57" i="29"/>
  <c r="D57" i="29"/>
  <c r="E57" i="29"/>
  <c r="G57" i="29"/>
  <c r="F57" i="29"/>
  <c r="H57" i="29"/>
  <c r="O57" i="29"/>
  <c r="F53" i="29"/>
  <c r="G53" i="29"/>
  <c r="H53" i="29"/>
  <c r="I53" i="29"/>
  <c r="J53" i="29"/>
  <c r="D53" i="29"/>
  <c r="E53" i="29"/>
  <c r="K53" i="29"/>
  <c r="O53" i="29"/>
  <c r="F37" i="29"/>
  <c r="G37" i="29"/>
  <c r="H37" i="29"/>
  <c r="I37" i="29"/>
  <c r="J37" i="29"/>
  <c r="D37" i="29"/>
  <c r="E37" i="29"/>
  <c r="O37" i="29"/>
  <c r="K37" i="29"/>
  <c r="F25" i="29"/>
  <c r="G25" i="29"/>
  <c r="H25" i="29"/>
  <c r="I25" i="29"/>
  <c r="J25" i="29"/>
  <c r="D25" i="29"/>
  <c r="E25" i="29"/>
  <c r="K25" i="29"/>
  <c r="O25" i="29"/>
  <c r="F21" i="29"/>
  <c r="G21" i="29"/>
  <c r="H21" i="29"/>
  <c r="I21" i="29"/>
  <c r="J21" i="29"/>
  <c r="D21" i="29"/>
  <c r="E21" i="29"/>
  <c r="K21" i="29"/>
  <c r="O21" i="29"/>
  <c r="F9" i="29"/>
  <c r="G9" i="29"/>
  <c r="H9" i="29"/>
  <c r="I9" i="29"/>
  <c r="J9" i="29"/>
  <c r="D9" i="29"/>
  <c r="E9" i="29"/>
  <c r="K9" i="29"/>
  <c r="J140" i="29"/>
  <c r="K140" i="29"/>
  <c r="D140" i="29"/>
  <c r="G140" i="29"/>
  <c r="H140" i="29"/>
  <c r="E140" i="29"/>
  <c r="F140" i="29"/>
  <c r="O140" i="29"/>
  <c r="I140" i="29"/>
  <c r="K175" i="29"/>
  <c r="D175" i="29"/>
  <c r="G175" i="29"/>
  <c r="E175" i="29"/>
  <c r="F175" i="29"/>
  <c r="I175" i="29"/>
  <c r="O175" i="29"/>
  <c r="H175" i="29"/>
  <c r="J175" i="29"/>
  <c r="F273" i="29"/>
  <c r="G273" i="29"/>
  <c r="H273" i="29"/>
  <c r="I273" i="29"/>
  <c r="J273" i="29"/>
  <c r="K273" i="29"/>
  <c r="D273" i="29"/>
  <c r="E273" i="29"/>
  <c r="D254" i="29"/>
  <c r="G254" i="29"/>
  <c r="H254" i="29"/>
  <c r="I254" i="29"/>
  <c r="J254" i="29"/>
  <c r="K254" i="29"/>
  <c r="E254" i="29"/>
  <c r="F254" i="29"/>
  <c r="O254" i="29"/>
  <c r="J137" i="29"/>
  <c r="K137" i="29"/>
  <c r="D137" i="29"/>
  <c r="G137" i="29"/>
  <c r="E137" i="29"/>
  <c r="F137" i="29"/>
  <c r="I137" i="29"/>
  <c r="H137" i="29"/>
  <c r="O137" i="29"/>
  <c r="G300" i="29"/>
  <c r="H300" i="29"/>
  <c r="I300" i="29"/>
  <c r="J300" i="29"/>
  <c r="K300" i="29"/>
  <c r="D300" i="29"/>
  <c r="E300" i="29"/>
  <c r="F300" i="29"/>
  <c r="G284" i="29"/>
  <c r="H284" i="29"/>
  <c r="I284" i="29"/>
  <c r="J284" i="29"/>
  <c r="D284" i="29"/>
  <c r="K284" i="29"/>
  <c r="E284" i="29"/>
  <c r="F284" i="29"/>
  <c r="G268" i="29"/>
  <c r="H268" i="29"/>
  <c r="I268" i="29"/>
  <c r="J268" i="29"/>
  <c r="K268" i="29"/>
  <c r="D268" i="29"/>
  <c r="E268" i="29"/>
  <c r="O268" i="29"/>
  <c r="F268" i="29"/>
  <c r="E252" i="29"/>
  <c r="F252" i="29"/>
  <c r="G252" i="29"/>
  <c r="H252" i="29"/>
  <c r="I252" i="29"/>
  <c r="J252" i="29"/>
  <c r="K252" i="29"/>
  <c r="D252" i="29"/>
  <c r="O252" i="29"/>
  <c r="F236" i="29"/>
  <c r="G236" i="29"/>
  <c r="H236" i="29"/>
  <c r="E236" i="29"/>
  <c r="I236" i="29"/>
  <c r="J236" i="29"/>
  <c r="K236" i="29"/>
  <c r="D236" i="29"/>
  <c r="O236" i="29"/>
  <c r="F220" i="29"/>
  <c r="G220" i="29"/>
  <c r="H220" i="29"/>
  <c r="I220" i="29"/>
  <c r="E220" i="29"/>
  <c r="J220" i="29"/>
  <c r="K220" i="29"/>
  <c r="O220" i="29"/>
  <c r="D220" i="29"/>
  <c r="K188" i="29"/>
  <c r="G188" i="29"/>
  <c r="D188" i="29"/>
  <c r="E188" i="29"/>
  <c r="F188" i="29"/>
  <c r="H188" i="29"/>
  <c r="I188" i="29"/>
  <c r="J188" i="29"/>
  <c r="O188" i="29"/>
  <c r="K172" i="29"/>
  <c r="D172" i="29"/>
  <c r="G172" i="29"/>
  <c r="E172" i="29"/>
  <c r="H172" i="29"/>
  <c r="I172" i="29"/>
  <c r="F172" i="29"/>
  <c r="J172" i="29"/>
  <c r="O172" i="29"/>
  <c r="J156" i="29"/>
  <c r="K156" i="29"/>
  <c r="D156" i="29"/>
  <c r="G156" i="29"/>
  <c r="H156" i="29"/>
  <c r="F156" i="29"/>
  <c r="E156" i="29"/>
  <c r="O156" i="29"/>
  <c r="I156" i="29"/>
  <c r="I128" i="29"/>
  <c r="J128" i="29"/>
  <c r="K128" i="29"/>
  <c r="D128" i="29"/>
  <c r="G128" i="29"/>
  <c r="E128" i="29"/>
  <c r="F128" i="29"/>
  <c r="H128" i="29"/>
  <c r="O128" i="29"/>
  <c r="J124" i="29"/>
  <c r="K124" i="29"/>
  <c r="D124" i="29"/>
  <c r="G124" i="29"/>
  <c r="H124" i="29"/>
  <c r="E124" i="29"/>
  <c r="F124" i="29"/>
  <c r="I124" i="29"/>
  <c r="J108" i="29"/>
  <c r="K108" i="29"/>
  <c r="D108" i="29"/>
  <c r="E108" i="29"/>
  <c r="G108" i="29"/>
  <c r="F108" i="29"/>
  <c r="H108" i="29"/>
  <c r="I108" i="29"/>
  <c r="J92" i="29"/>
  <c r="K92" i="29"/>
  <c r="D92" i="29"/>
  <c r="E92" i="29"/>
  <c r="G92" i="29"/>
  <c r="F92" i="29"/>
  <c r="H92" i="29"/>
  <c r="O92" i="29"/>
  <c r="I92" i="29"/>
  <c r="J76" i="29"/>
  <c r="K76" i="29"/>
  <c r="D76" i="29"/>
  <c r="E76" i="29"/>
  <c r="G76" i="29"/>
  <c r="F76" i="29"/>
  <c r="H76" i="29"/>
  <c r="O76" i="29"/>
  <c r="I76" i="29"/>
  <c r="J60" i="29"/>
  <c r="K60" i="29"/>
  <c r="D60" i="29"/>
  <c r="E60" i="29"/>
  <c r="G60" i="29"/>
  <c r="F60" i="29"/>
  <c r="H60" i="29"/>
  <c r="I60" i="29"/>
  <c r="O60" i="29"/>
  <c r="G44" i="29"/>
  <c r="H44" i="29"/>
  <c r="I44" i="29"/>
  <c r="J44" i="29"/>
  <c r="D44" i="29"/>
  <c r="E44" i="29"/>
  <c r="K44" i="29"/>
  <c r="F44" i="29"/>
  <c r="O44" i="29"/>
  <c r="G28" i="29"/>
  <c r="H28" i="29"/>
  <c r="I28" i="29"/>
  <c r="J28" i="29"/>
  <c r="D28" i="29"/>
  <c r="E28" i="29"/>
  <c r="K28" i="29"/>
  <c r="O28" i="29"/>
  <c r="F28" i="29"/>
  <c r="G12" i="29"/>
  <c r="H12" i="29"/>
  <c r="I12" i="29"/>
  <c r="J12" i="29"/>
  <c r="D12" i="29"/>
  <c r="E12" i="29"/>
  <c r="K12" i="29"/>
  <c r="O12" i="29"/>
  <c r="F12" i="29"/>
  <c r="G287" i="29"/>
  <c r="O287" i="29"/>
  <c r="H287" i="29"/>
  <c r="I287" i="29"/>
  <c r="J287" i="29"/>
  <c r="K287" i="29"/>
  <c r="D287" i="29"/>
  <c r="E287" i="29"/>
  <c r="F287" i="29"/>
  <c r="H255" i="29"/>
  <c r="I255" i="29"/>
  <c r="J255" i="29"/>
  <c r="K255" i="29"/>
  <c r="O255" i="29"/>
  <c r="E255" i="29"/>
  <c r="F255" i="29"/>
  <c r="G255" i="29"/>
  <c r="D255" i="29"/>
  <c r="K207" i="29"/>
  <c r="G207" i="29"/>
  <c r="O207" i="29"/>
  <c r="E207" i="29"/>
  <c r="F207" i="29"/>
  <c r="H207" i="29"/>
  <c r="I207" i="29"/>
  <c r="D207" i="29"/>
  <c r="J207" i="29"/>
  <c r="J159" i="29"/>
  <c r="K159" i="29"/>
  <c r="D159" i="29"/>
  <c r="G159" i="29"/>
  <c r="F159" i="29"/>
  <c r="E159" i="29"/>
  <c r="H159" i="29"/>
  <c r="O159" i="29"/>
  <c r="I159" i="29"/>
  <c r="G15" i="29"/>
  <c r="O15" i="29"/>
  <c r="H15" i="29"/>
  <c r="I15" i="29"/>
  <c r="J15" i="29"/>
  <c r="D15" i="29"/>
  <c r="E15" i="29"/>
  <c r="K15" i="29"/>
  <c r="F15" i="29"/>
  <c r="F262" i="29"/>
  <c r="G262" i="29"/>
  <c r="H262" i="29"/>
  <c r="I262" i="29"/>
  <c r="J262" i="29"/>
  <c r="D262" i="29"/>
  <c r="K262" i="29"/>
  <c r="O262" i="29"/>
  <c r="E262" i="29"/>
  <c r="I150" i="29"/>
  <c r="J150" i="29"/>
  <c r="K150" i="29"/>
  <c r="D150" i="29"/>
  <c r="G150" i="29"/>
  <c r="E150" i="29"/>
  <c r="F150" i="29"/>
  <c r="H150" i="29"/>
  <c r="G38" i="29"/>
  <c r="H38" i="29"/>
  <c r="I38" i="29"/>
  <c r="O38" i="29"/>
  <c r="J38" i="29"/>
  <c r="D38" i="29"/>
  <c r="E38" i="29"/>
  <c r="K38" i="29"/>
  <c r="F38" i="29"/>
  <c r="F289" i="29"/>
  <c r="G289" i="29"/>
  <c r="H289" i="29"/>
  <c r="I289" i="29"/>
  <c r="J289" i="29"/>
  <c r="K289" i="29"/>
  <c r="D289" i="29"/>
  <c r="E289" i="29"/>
  <c r="J113" i="29"/>
  <c r="K113" i="29"/>
  <c r="D113" i="29"/>
  <c r="E113" i="29"/>
  <c r="G113" i="29"/>
  <c r="F113" i="29"/>
  <c r="I113" i="29"/>
  <c r="H113" i="29"/>
  <c r="F33" i="29"/>
  <c r="G33" i="29"/>
  <c r="H33" i="29"/>
  <c r="I33" i="29"/>
  <c r="J33" i="29"/>
  <c r="D33" i="29"/>
  <c r="E33" i="29"/>
  <c r="K33" i="29"/>
  <c r="O33" i="29"/>
  <c r="G295" i="29"/>
  <c r="H295" i="29"/>
  <c r="I295" i="29"/>
  <c r="J295" i="29"/>
  <c r="D295" i="29"/>
  <c r="K295" i="29"/>
  <c r="E295" i="29"/>
  <c r="O295" i="29"/>
  <c r="F295" i="29"/>
  <c r="G279" i="29"/>
  <c r="H279" i="29"/>
  <c r="O279" i="29"/>
  <c r="I279" i="29"/>
  <c r="J279" i="29"/>
  <c r="K279" i="29"/>
  <c r="D279" i="29"/>
  <c r="E279" i="29"/>
  <c r="F279" i="29"/>
  <c r="G263" i="29"/>
  <c r="H263" i="29"/>
  <c r="I263" i="29"/>
  <c r="O263" i="29"/>
  <c r="J263" i="29"/>
  <c r="K263" i="29"/>
  <c r="D263" i="29"/>
  <c r="E263" i="29"/>
  <c r="F263" i="29"/>
  <c r="F247" i="29"/>
  <c r="G247" i="29"/>
  <c r="E247" i="29"/>
  <c r="H247" i="29"/>
  <c r="I247" i="29"/>
  <c r="O247" i="29"/>
  <c r="J247" i="29"/>
  <c r="K247" i="29"/>
  <c r="D247" i="29"/>
  <c r="F231" i="29"/>
  <c r="G231" i="29"/>
  <c r="H231" i="29"/>
  <c r="J231" i="29"/>
  <c r="K231" i="29"/>
  <c r="E231" i="29"/>
  <c r="I231" i="29"/>
  <c r="O231" i="29"/>
  <c r="D231" i="29"/>
  <c r="E215" i="29"/>
  <c r="O215" i="29"/>
  <c r="F215" i="29"/>
  <c r="H215" i="29"/>
  <c r="I215" i="29"/>
  <c r="K215" i="29"/>
  <c r="D215" i="29"/>
  <c r="J215" i="29"/>
  <c r="G215" i="29"/>
  <c r="K199" i="29"/>
  <c r="G199" i="29"/>
  <c r="E199" i="29"/>
  <c r="O199" i="29"/>
  <c r="F199" i="29"/>
  <c r="H199" i="29"/>
  <c r="I199" i="29"/>
  <c r="D199" i="29"/>
  <c r="J199" i="29"/>
  <c r="K183" i="29"/>
  <c r="D183" i="29"/>
  <c r="G183" i="29"/>
  <c r="E183" i="29"/>
  <c r="F183" i="29"/>
  <c r="O183" i="29"/>
  <c r="H183" i="29"/>
  <c r="I183" i="29"/>
  <c r="J183" i="29"/>
  <c r="J167" i="29"/>
  <c r="K167" i="29"/>
  <c r="D167" i="29"/>
  <c r="G167" i="29"/>
  <c r="F167" i="29"/>
  <c r="E167" i="29"/>
  <c r="H167" i="29"/>
  <c r="O167" i="29"/>
  <c r="I167" i="29"/>
  <c r="J151" i="29"/>
  <c r="O151" i="29"/>
  <c r="K151" i="29"/>
  <c r="D151" i="29"/>
  <c r="G151" i="29"/>
  <c r="F151" i="29"/>
  <c r="E151" i="29"/>
  <c r="H151" i="29"/>
  <c r="I151" i="29"/>
  <c r="J135" i="29"/>
  <c r="K135" i="29"/>
  <c r="D135" i="29"/>
  <c r="O135" i="29"/>
  <c r="G135" i="29"/>
  <c r="F135" i="29"/>
  <c r="E135" i="29"/>
  <c r="H135" i="29"/>
  <c r="I135" i="29"/>
  <c r="J119" i="29"/>
  <c r="K119" i="29"/>
  <c r="D119" i="29"/>
  <c r="E119" i="29"/>
  <c r="O119" i="29"/>
  <c r="G119" i="29"/>
  <c r="F119" i="29"/>
  <c r="H119" i="29"/>
  <c r="I119" i="29"/>
  <c r="J103" i="29"/>
  <c r="K103" i="29"/>
  <c r="D103" i="29"/>
  <c r="E103" i="29"/>
  <c r="G103" i="29"/>
  <c r="F103" i="29"/>
  <c r="O103" i="29"/>
  <c r="H103" i="29"/>
  <c r="I103" i="29"/>
  <c r="J87" i="29"/>
  <c r="K87" i="29"/>
  <c r="D87" i="29"/>
  <c r="E87" i="29"/>
  <c r="G87" i="29"/>
  <c r="F87" i="29"/>
  <c r="H87" i="29"/>
  <c r="I87" i="29"/>
  <c r="O87" i="29"/>
  <c r="J71" i="29"/>
  <c r="K71" i="29"/>
  <c r="O71" i="29"/>
  <c r="D71" i="29"/>
  <c r="E71" i="29"/>
  <c r="G71" i="29"/>
  <c r="F71" i="29"/>
  <c r="H71" i="29"/>
  <c r="I71" i="29"/>
  <c r="G55" i="29"/>
  <c r="H55" i="29"/>
  <c r="I55" i="29"/>
  <c r="J55" i="29"/>
  <c r="O55" i="29"/>
  <c r="D55" i="29"/>
  <c r="E55" i="29"/>
  <c r="K55" i="29"/>
  <c r="F55" i="29"/>
  <c r="G39" i="29"/>
  <c r="H39" i="29"/>
  <c r="I39" i="29"/>
  <c r="J39" i="29"/>
  <c r="D39" i="29"/>
  <c r="E39" i="29"/>
  <c r="O39" i="29"/>
  <c r="K39" i="29"/>
  <c r="F39" i="29"/>
  <c r="G23" i="29"/>
  <c r="H23" i="29"/>
  <c r="I23" i="29"/>
  <c r="J23" i="29"/>
  <c r="D23" i="29"/>
  <c r="E23" i="29"/>
  <c r="K23" i="29"/>
  <c r="F23" i="29"/>
  <c r="O23" i="29"/>
  <c r="F302" i="29"/>
  <c r="G302" i="29"/>
  <c r="H302" i="29"/>
  <c r="I302" i="29"/>
  <c r="J302" i="29"/>
  <c r="K302" i="29"/>
  <c r="D302" i="29"/>
  <c r="O302" i="29"/>
  <c r="E302" i="29"/>
  <c r="F286" i="29"/>
  <c r="G286" i="29"/>
  <c r="H286" i="29"/>
  <c r="I286" i="29"/>
  <c r="J286" i="29"/>
  <c r="D286" i="29"/>
  <c r="K286" i="29"/>
  <c r="E286" i="29"/>
  <c r="O286" i="29"/>
  <c r="F270" i="29"/>
  <c r="G270" i="29"/>
  <c r="H270" i="29"/>
  <c r="I270" i="29"/>
  <c r="J270" i="29"/>
  <c r="D270" i="29"/>
  <c r="K270" i="29"/>
  <c r="E270" i="29"/>
  <c r="D238" i="29"/>
  <c r="F238" i="29"/>
  <c r="G238" i="29"/>
  <c r="E238" i="29"/>
  <c r="H238" i="29"/>
  <c r="J238" i="29"/>
  <c r="I238" i="29"/>
  <c r="K238" i="29"/>
  <c r="O238" i="29"/>
  <c r="F222" i="29"/>
  <c r="G222" i="29"/>
  <c r="H222" i="29"/>
  <c r="I222" i="29"/>
  <c r="E222" i="29"/>
  <c r="J222" i="29"/>
  <c r="D222" i="29"/>
  <c r="O222" i="29"/>
  <c r="K222" i="29"/>
  <c r="K206" i="29"/>
  <c r="G206" i="29"/>
  <c r="O206" i="29"/>
  <c r="I206" i="29"/>
  <c r="D206" i="29"/>
  <c r="E206" i="29"/>
  <c r="H206" i="29"/>
  <c r="F206" i="29"/>
  <c r="J206" i="29"/>
  <c r="K174" i="29"/>
  <c r="D174" i="29"/>
  <c r="G174" i="29"/>
  <c r="E174" i="29"/>
  <c r="O174" i="29"/>
  <c r="H174" i="29"/>
  <c r="I174" i="29"/>
  <c r="F174" i="29"/>
  <c r="J174" i="29"/>
  <c r="I158" i="29"/>
  <c r="J158" i="29"/>
  <c r="K158" i="29"/>
  <c r="D158" i="29"/>
  <c r="G158" i="29"/>
  <c r="E158" i="29"/>
  <c r="F158" i="29"/>
  <c r="H158" i="29"/>
  <c r="O158" i="29"/>
  <c r="J142" i="29"/>
  <c r="K142" i="29"/>
  <c r="D142" i="29"/>
  <c r="G142" i="29"/>
  <c r="E142" i="29"/>
  <c r="F142" i="29"/>
  <c r="O142" i="29"/>
  <c r="H142" i="29"/>
  <c r="I142" i="29"/>
  <c r="I126" i="29"/>
  <c r="J126" i="29"/>
  <c r="K126" i="29"/>
  <c r="D126" i="29"/>
  <c r="G126" i="29"/>
  <c r="E126" i="29"/>
  <c r="F126" i="29"/>
  <c r="H126" i="29"/>
  <c r="I110" i="29"/>
  <c r="J110" i="29"/>
  <c r="K110" i="29"/>
  <c r="D110" i="29"/>
  <c r="E110" i="29"/>
  <c r="G110" i="29"/>
  <c r="F110" i="29"/>
  <c r="H110" i="29"/>
  <c r="I94" i="29"/>
  <c r="J94" i="29"/>
  <c r="K94" i="29"/>
  <c r="D94" i="29"/>
  <c r="E94" i="29"/>
  <c r="G94" i="29"/>
  <c r="F94" i="29"/>
  <c r="H94" i="29"/>
  <c r="O94" i="29"/>
  <c r="J78" i="29"/>
  <c r="K78" i="29"/>
  <c r="D78" i="29"/>
  <c r="E78" i="29"/>
  <c r="G78" i="29"/>
  <c r="F78" i="29"/>
  <c r="H78" i="29"/>
  <c r="I78" i="29"/>
  <c r="O78" i="29"/>
  <c r="J62" i="29"/>
  <c r="K62" i="29"/>
  <c r="D62" i="29"/>
  <c r="E62" i="29"/>
  <c r="G62" i="29"/>
  <c r="F62" i="29"/>
  <c r="H62" i="29"/>
  <c r="I62" i="29"/>
  <c r="O62" i="29"/>
  <c r="G46" i="29"/>
  <c r="H46" i="29"/>
  <c r="O46" i="29"/>
  <c r="I46" i="29"/>
  <c r="J46" i="29"/>
  <c r="D46" i="29"/>
  <c r="E46" i="29"/>
  <c r="K46" i="29"/>
  <c r="F46" i="29"/>
  <c r="F30" i="29"/>
  <c r="G30" i="29"/>
  <c r="H30" i="29"/>
  <c r="I30" i="29"/>
  <c r="J30" i="29"/>
  <c r="D30" i="29"/>
  <c r="E30" i="29"/>
  <c r="K30" i="29"/>
  <c r="O30" i="29"/>
  <c r="F14" i="29"/>
  <c r="G14" i="29"/>
  <c r="H14" i="29"/>
  <c r="I14" i="29"/>
  <c r="J14" i="29"/>
  <c r="D14" i="29"/>
  <c r="E14" i="29"/>
  <c r="O14" i="29"/>
  <c r="K14" i="29"/>
  <c r="F297" i="29"/>
  <c r="G297" i="29"/>
  <c r="H297" i="29"/>
  <c r="I297" i="29"/>
  <c r="J297" i="29"/>
  <c r="D297" i="29"/>
  <c r="K297" i="29"/>
  <c r="E297" i="29"/>
  <c r="O297" i="29"/>
  <c r="F281" i="29"/>
  <c r="G281" i="29"/>
  <c r="H281" i="29"/>
  <c r="I281" i="29"/>
  <c r="J281" i="29"/>
  <c r="K281" i="29"/>
  <c r="D281" i="29"/>
  <c r="O281" i="29"/>
  <c r="E281" i="29"/>
  <c r="F265" i="29"/>
  <c r="G265" i="29"/>
  <c r="H265" i="29"/>
  <c r="I265" i="29"/>
  <c r="J265" i="29"/>
  <c r="D265" i="29"/>
  <c r="K265" i="29"/>
  <c r="E265" i="29"/>
  <c r="O265" i="29"/>
  <c r="J249" i="29"/>
  <c r="K249" i="29"/>
  <c r="E249" i="29"/>
  <c r="F249" i="29"/>
  <c r="G249" i="29"/>
  <c r="H249" i="29"/>
  <c r="O249" i="29"/>
  <c r="D249" i="29"/>
  <c r="I249" i="29"/>
  <c r="F233" i="29"/>
  <c r="G233" i="29"/>
  <c r="H233" i="29"/>
  <c r="J233" i="29"/>
  <c r="K233" i="29"/>
  <c r="E233" i="29"/>
  <c r="O233" i="29"/>
  <c r="D233" i="29"/>
  <c r="I233" i="29"/>
  <c r="D217" i="29"/>
  <c r="F217" i="29"/>
  <c r="G217" i="29"/>
  <c r="H217" i="29"/>
  <c r="I217" i="29"/>
  <c r="E217" i="29"/>
  <c r="K217" i="29"/>
  <c r="O217" i="29"/>
  <c r="J217" i="29"/>
  <c r="J201" i="29"/>
  <c r="K201" i="29"/>
  <c r="G201" i="29"/>
  <c r="D201" i="29"/>
  <c r="E201" i="29"/>
  <c r="F201" i="29"/>
  <c r="H201" i="29"/>
  <c r="I201" i="29"/>
  <c r="O201" i="29"/>
  <c r="J185" i="29"/>
  <c r="K185" i="29"/>
  <c r="D185" i="29"/>
  <c r="G185" i="29"/>
  <c r="E185" i="29"/>
  <c r="F185" i="29"/>
  <c r="I185" i="29"/>
  <c r="O185" i="29"/>
  <c r="H185" i="29"/>
  <c r="J169" i="29"/>
  <c r="K169" i="29"/>
  <c r="D169" i="29"/>
  <c r="O169" i="29"/>
  <c r="G169" i="29"/>
  <c r="E169" i="29"/>
  <c r="F169" i="29"/>
  <c r="H169" i="29"/>
  <c r="I169" i="29"/>
  <c r="J153" i="29"/>
  <c r="K153" i="29"/>
  <c r="D153" i="29"/>
  <c r="G153" i="29"/>
  <c r="E153" i="29"/>
  <c r="O153" i="29"/>
  <c r="F153" i="29"/>
  <c r="H153" i="29"/>
  <c r="I153" i="29"/>
  <c r="I121" i="29"/>
  <c r="J121" i="29"/>
  <c r="K121" i="29"/>
  <c r="D121" i="29"/>
  <c r="E121" i="29"/>
  <c r="G121" i="29"/>
  <c r="F121" i="29"/>
  <c r="H121" i="29"/>
  <c r="O121" i="29"/>
  <c r="I105" i="29"/>
  <c r="J105" i="29"/>
  <c r="K105" i="29"/>
  <c r="D105" i="29"/>
  <c r="E105" i="29"/>
  <c r="G105" i="29"/>
  <c r="F105" i="29"/>
  <c r="O105" i="29"/>
  <c r="H105" i="29"/>
  <c r="J89" i="29"/>
  <c r="K89" i="29"/>
  <c r="D89" i="29"/>
  <c r="E89" i="29"/>
  <c r="G89" i="29"/>
  <c r="F89" i="29"/>
  <c r="O89" i="29"/>
  <c r="I89" i="29"/>
  <c r="H89" i="29"/>
  <c r="G41" i="29"/>
  <c r="H41" i="29"/>
  <c r="I41" i="29"/>
  <c r="J41" i="29"/>
  <c r="D41" i="29"/>
  <c r="E41" i="29"/>
  <c r="K41" i="29"/>
  <c r="O41" i="29"/>
  <c r="F41" i="29"/>
  <c r="I80" i="29"/>
  <c r="J80" i="29"/>
  <c r="K80" i="29"/>
  <c r="D80" i="29"/>
  <c r="E80" i="29"/>
  <c r="G80" i="29"/>
  <c r="F80" i="29"/>
  <c r="H80" i="29"/>
  <c r="O80" i="29"/>
  <c r="I64" i="29"/>
  <c r="J64" i="29"/>
  <c r="K64" i="29"/>
  <c r="D64" i="29"/>
  <c r="E64" i="29"/>
  <c r="G64" i="29"/>
  <c r="F64" i="29"/>
  <c r="O64" i="29"/>
  <c r="H64" i="29"/>
  <c r="F239" i="29"/>
  <c r="G239" i="29"/>
  <c r="E239" i="29"/>
  <c r="H239" i="29"/>
  <c r="I239" i="29"/>
  <c r="J239" i="29"/>
  <c r="O239" i="29"/>
  <c r="K239" i="29"/>
  <c r="D239" i="29"/>
  <c r="J127" i="29"/>
  <c r="K127" i="29"/>
  <c r="D127" i="29"/>
  <c r="G127" i="29"/>
  <c r="F127" i="29"/>
  <c r="H127" i="29"/>
  <c r="E127" i="29"/>
  <c r="I127" i="29"/>
  <c r="J79" i="29"/>
  <c r="O79" i="29"/>
  <c r="K79" i="29"/>
  <c r="D79" i="29"/>
  <c r="E79" i="29"/>
  <c r="G79" i="29"/>
  <c r="F79" i="29"/>
  <c r="H79" i="29"/>
  <c r="I79" i="29"/>
  <c r="I70" i="29"/>
  <c r="J70" i="29"/>
  <c r="K70" i="29"/>
  <c r="D70" i="29"/>
  <c r="E70" i="29"/>
  <c r="G70" i="29"/>
  <c r="F70" i="29"/>
  <c r="O70" i="29"/>
  <c r="H70" i="29"/>
  <c r="D257" i="29"/>
  <c r="J257" i="29"/>
  <c r="K257" i="29"/>
  <c r="E257" i="29"/>
  <c r="F257" i="29"/>
  <c r="H257" i="29"/>
  <c r="G257" i="29"/>
  <c r="I257" i="29"/>
  <c r="O257" i="29"/>
  <c r="I161" i="29"/>
  <c r="J161" i="29"/>
  <c r="K161" i="29"/>
  <c r="D161" i="29"/>
  <c r="G161" i="29"/>
  <c r="E161" i="29"/>
  <c r="F161" i="29"/>
  <c r="O161" i="29"/>
  <c r="H161" i="29"/>
  <c r="I129" i="29"/>
  <c r="J129" i="29"/>
  <c r="K129" i="29"/>
  <c r="D129" i="29"/>
  <c r="G129" i="29"/>
  <c r="E129" i="29"/>
  <c r="F129" i="29"/>
  <c r="H129" i="29"/>
  <c r="O129" i="29"/>
  <c r="I97" i="29"/>
  <c r="J97" i="29"/>
  <c r="K97" i="29"/>
  <c r="D97" i="29"/>
  <c r="E97" i="29"/>
  <c r="G97" i="29"/>
  <c r="H97" i="29"/>
  <c r="O97" i="29"/>
  <c r="F97" i="29"/>
  <c r="K210" i="29"/>
  <c r="G210" i="29"/>
  <c r="D210" i="29"/>
  <c r="F210" i="29"/>
  <c r="H210" i="29"/>
  <c r="I210" i="29"/>
  <c r="E210" i="29"/>
  <c r="J210" i="29"/>
  <c r="O210" i="29"/>
  <c r="J146" i="29"/>
  <c r="K146" i="29"/>
  <c r="D146" i="29"/>
  <c r="G146" i="29"/>
  <c r="E146" i="29"/>
  <c r="H146" i="29"/>
  <c r="F146" i="29"/>
  <c r="I146" i="29"/>
  <c r="F304" i="29"/>
  <c r="G304" i="29"/>
  <c r="H304" i="29"/>
  <c r="I304" i="29"/>
  <c r="J304" i="29"/>
  <c r="K304" i="29"/>
  <c r="D304" i="29"/>
  <c r="E304" i="29"/>
  <c r="O304" i="29"/>
  <c r="F288" i="29"/>
  <c r="G288" i="29"/>
  <c r="H288" i="29"/>
  <c r="I288" i="29"/>
  <c r="J288" i="29"/>
  <c r="D288" i="29"/>
  <c r="K288" i="29"/>
  <c r="E288" i="29"/>
  <c r="O288" i="29"/>
  <c r="F272" i="29"/>
  <c r="G272" i="29"/>
  <c r="H272" i="29"/>
  <c r="I272" i="29"/>
  <c r="J272" i="29"/>
  <c r="D272" i="29"/>
  <c r="K272" i="29"/>
  <c r="E272" i="29"/>
  <c r="D256" i="29"/>
  <c r="I256" i="29"/>
  <c r="J256" i="29"/>
  <c r="K256" i="29"/>
  <c r="E256" i="29"/>
  <c r="F256" i="29"/>
  <c r="G256" i="29"/>
  <c r="H256" i="29"/>
  <c r="O256" i="29"/>
  <c r="D240" i="29"/>
  <c r="F240" i="29"/>
  <c r="G240" i="29"/>
  <c r="J240" i="29"/>
  <c r="K240" i="29"/>
  <c r="E240" i="29"/>
  <c r="H240" i="29"/>
  <c r="I240" i="29"/>
  <c r="O240" i="29"/>
  <c r="D224" i="29"/>
  <c r="F224" i="29"/>
  <c r="G224" i="29"/>
  <c r="H224" i="29"/>
  <c r="E224" i="29"/>
  <c r="I224" i="29"/>
  <c r="J224" i="29"/>
  <c r="K224" i="29"/>
  <c r="O224" i="29"/>
  <c r="J208" i="29"/>
  <c r="K208" i="29"/>
  <c r="G208" i="29"/>
  <c r="F208" i="29"/>
  <c r="I208" i="29"/>
  <c r="D208" i="29"/>
  <c r="E208" i="29"/>
  <c r="H208" i="29"/>
  <c r="O208" i="29"/>
  <c r="J192" i="29"/>
  <c r="K192" i="29"/>
  <c r="G192" i="29"/>
  <c r="F192" i="29"/>
  <c r="I192" i="29"/>
  <c r="D192" i="29"/>
  <c r="E192" i="29"/>
  <c r="H192" i="29"/>
  <c r="O192" i="29"/>
  <c r="J176" i="29"/>
  <c r="K176" i="29"/>
  <c r="D176" i="29"/>
  <c r="G176" i="29"/>
  <c r="E176" i="29"/>
  <c r="H176" i="29"/>
  <c r="I176" i="29"/>
  <c r="F176" i="29"/>
  <c r="O176" i="29"/>
  <c r="I160" i="29"/>
  <c r="J160" i="29"/>
  <c r="K160" i="29"/>
  <c r="D160" i="29"/>
  <c r="G160" i="29"/>
  <c r="E160" i="29"/>
  <c r="F160" i="29"/>
  <c r="H160" i="29"/>
  <c r="O160" i="29"/>
  <c r="I144" i="29"/>
  <c r="J144" i="29"/>
  <c r="K144" i="29"/>
  <c r="D144" i="29"/>
  <c r="G144" i="29"/>
  <c r="E144" i="29"/>
  <c r="F144" i="29"/>
  <c r="H144" i="29"/>
  <c r="I112" i="29"/>
  <c r="J112" i="29"/>
  <c r="K112" i="29"/>
  <c r="D112" i="29"/>
  <c r="E112" i="29"/>
  <c r="G112" i="29"/>
  <c r="F112" i="29"/>
  <c r="H112" i="29"/>
  <c r="O112" i="29"/>
  <c r="I96" i="29"/>
  <c r="J96" i="29"/>
  <c r="K96" i="29"/>
  <c r="D96" i="29"/>
  <c r="E96" i="29"/>
  <c r="G96" i="29"/>
  <c r="F96" i="29"/>
  <c r="H96" i="29"/>
  <c r="O96" i="29"/>
  <c r="F48" i="29"/>
  <c r="G48" i="29"/>
  <c r="H48" i="29"/>
  <c r="I48" i="29"/>
  <c r="J48" i="29"/>
  <c r="D48" i="29"/>
  <c r="E48" i="29"/>
  <c r="K48" i="29"/>
  <c r="O48" i="29"/>
  <c r="F32" i="29"/>
  <c r="G32" i="29"/>
  <c r="H32" i="29"/>
  <c r="I32" i="29"/>
  <c r="J32" i="29"/>
  <c r="D32" i="29"/>
  <c r="E32" i="29"/>
  <c r="K32" i="29"/>
  <c r="O32" i="29"/>
  <c r="F16" i="29"/>
  <c r="G16" i="29"/>
  <c r="H16" i="29"/>
  <c r="I16" i="29"/>
  <c r="J16" i="29"/>
  <c r="D16" i="29"/>
  <c r="E16" i="29"/>
  <c r="K16" i="29"/>
  <c r="J143" i="29"/>
  <c r="K143" i="29"/>
  <c r="O143" i="29"/>
  <c r="D143" i="29"/>
  <c r="G143" i="29"/>
  <c r="F143" i="29"/>
  <c r="E143" i="29"/>
  <c r="H143" i="29"/>
  <c r="I143" i="29"/>
  <c r="J63" i="29"/>
  <c r="K63" i="29"/>
  <c r="D63" i="29"/>
  <c r="O63" i="29"/>
  <c r="E63" i="29"/>
  <c r="G63" i="29"/>
  <c r="F63" i="29"/>
  <c r="H63" i="29"/>
  <c r="I63" i="29"/>
  <c r="G31" i="29"/>
  <c r="H31" i="29"/>
  <c r="I31" i="29"/>
  <c r="J31" i="29"/>
  <c r="D31" i="29"/>
  <c r="E31" i="29"/>
  <c r="K31" i="29"/>
  <c r="O31" i="29"/>
  <c r="F31" i="29"/>
  <c r="I134" i="29"/>
  <c r="J134" i="29"/>
  <c r="K134" i="29"/>
  <c r="D134" i="29"/>
  <c r="G134" i="29"/>
  <c r="E134" i="29"/>
  <c r="F134" i="29"/>
  <c r="O134" i="29"/>
  <c r="H134" i="29"/>
  <c r="F22" i="29"/>
  <c r="G22" i="29"/>
  <c r="H22" i="29"/>
  <c r="I22" i="29"/>
  <c r="J22" i="29"/>
  <c r="D22" i="29"/>
  <c r="E22" i="29"/>
  <c r="K22" i="29"/>
  <c r="O22" i="29"/>
  <c r="J65" i="29"/>
  <c r="K65" i="29"/>
  <c r="D65" i="29"/>
  <c r="E65" i="29"/>
  <c r="G65" i="29"/>
  <c r="F65" i="29"/>
  <c r="O65" i="29"/>
  <c r="H65" i="29"/>
  <c r="I65" i="29"/>
  <c r="I120" i="29"/>
  <c r="J120" i="29"/>
  <c r="K120" i="29"/>
  <c r="D120" i="29"/>
  <c r="E120" i="29"/>
  <c r="G120" i="29"/>
  <c r="F120" i="29"/>
  <c r="H120" i="29"/>
  <c r="F299" i="29"/>
  <c r="G299" i="29"/>
  <c r="H299" i="29"/>
  <c r="I299" i="29"/>
  <c r="J299" i="29"/>
  <c r="D299" i="29"/>
  <c r="K299" i="29"/>
  <c r="E299" i="29"/>
  <c r="F283" i="29"/>
  <c r="G283" i="29"/>
  <c r="H283" i="29"/>
  <c r="I283" i="29"/>
  <c r="J283" i="29"/>
  <c r="K283" i="29"/>
  <c r="D283" i="29"/>
  <c r="O283" i="29"/>
  <c r="E283" i="29"/>
  <c r="F267" i="29"/>
  <c r="G267" i="29"/>
  <c r="H267" i="29"/>
  <c r="I267" i="29"/>
  <c r="J267" i="29"/>
  <c r="D267" i="29"/>
  <c r="K267" i="29"/>
  <c r="O267" i="29"/>
  <c r="E267" i="29"/>
  <c r="D251" i="29"/>
  <c r="E251" i="29"/>
  <c r="F251" i="29"/>
  <c r="G251" i="29"/>
  <c r="H251" i="29"/>
  <c r="J251" i="29"/>
  <c r="I251" i="29"/>
  <c r="O251" i="29"/>
  <c r="K251" i="29"/>
  <c r="D235" i="29"/>
  <c r="F235" i="29"/>
  <c r="G235" i="29"/>
  <c r="H235" i="29"/>
  <c r="J235" i="29"/>
  <c r="K235" i="29"/>
  <c r="E235" i="29"/>
  <c r="O235" i="29"/>
  <c r="I235" i="29"/>
  <c r="D219" i="29"/>
  <c r="F219" i="29"/>
  <c r="G219" i="29"/>
  <c r="H219" i="29"/>
  <c r="I219" i="29"/>
  <c r="E219" i="29"/>
  <c r="J219" i="29"/>
  <c r="O219" i="29"/>
  <c r="K219" i="29"/>
  <c r="J203" i="29"/>
  <c r="K203" i="29"/>
  <c r="G203" i="29"/>
  <c r="H203" i="29"/>
  <c r="D203" i="29"/>
  <c r="F203" i="29"/>
  <c r="I203" i="29"/>
  <c r="O203" i="29"/>
  <c r="E203" i="29"/>
  <c r="J187" i="29"/>
  <c r="K187" i="29"/>
  <c r="G187" i="29"/>
  <c r="H187" i="29"/>
  <c r="D187" i="29"/>
  <c r="E187" i="29"/>
  <c r="F187" i="29"/>
  <c r="O187" i="29"/>
  <c r="I187" i="29"/>
  <c r="J171" i="29"/>
  <c r="K171" i="29"/>
  <c r="D171" i="29"/>
  <c r="G171" i="29"/>
  <c r="E171" i="29"/>
  <c r="F171" i="29"/>
  <c r="H171" i="29"/>
  <c r="O171" i="29"/>
  <c r="I171" i="29"/>
  <c r="I155" i="29"/>
  <c r="J155" i="29"/>
  <c r="K155" i="29"/>
  <c r="D155" i="29"/>
  <c r="G155" i="29"/>
  <c r="E155" i="29"/>
  <c r="F155" i="29"/>
  <c r="O155" i="29"/>
  <c r="H155" i="29"/>
  <c r="I139" i="29"/>
  <c r="J139" i="29"/>
  <c r="K139" i="29"/>
  <c r="D139" i="29"/>
  <c r="G139" i="29"/>
  <c r="E139" i="29"/>
  <c r="F139" i="29"/>
  <c r="H139" i="29"/>
  <c r="I123" i="29"/>
  <c r="J123" i="29"/>
  <c r="K123" i="29"/>
  <c r="D123" i="29"/>
  <c r="G123" i="29"/>
  <c r="E123" i="29"/>
  <c r="F123" i="29"/>
  <c r="H123" i="29"/>
  <c r="I107" i="29"/>
  <c r="J107" i="29"/>
  <c r="K107" i="29"/>
  <c r="D107" i="29"/>
  <c r="E107" i="29"/>
  <c r="G107" i="29"/>
  <c r="F107" i="29"/>
  <c r="O107" i="29"/>
  <c r="H107" i="29"/>
  <c r="I91" i="29"/>
  <c r="J91" i="29"/>
  <c r="K91" i="29"/>
  <c r="D91" i="29"/>
  <c r="E91" i="29"/>
  <c r="G91" i="29"/>
  <c r="F91" i="29"/>
  <c r="O91" i="29"/>
  <c r="H91" i="29"/>
  <c r="I75" i="29"/>
  <c r="J75" i="29"/>
  <c r="K75" i="29"/>
  <c r="D75" i="29"/>
  <c r="E75" i="29"/>
  <c r="G75" i="29"/>
  <c r="F75" i="29"/>
  <c r="H75" i="29"/>
  <c r="O75" i="29"/>
  <c r="I59" i="29"/>
  <c r="J59" i="29"/>
  <c r="K59" i="29"/>
  <c r="D59" i="29"/>
  <c r="E59" i="29"/>
  <c r="G59" i="29"/>
  <c r="F59" i="29"/>
  <c r="H59" i="29"/>
  <c r="O59" i="29"/>
  <c r="F43" i="29"/>
  <c r="G43" i="29"/>
  <c r="H43" i="29"/>
  <c r="I43" i="29"/>
  <c r="J43" i="29"/>
  <c r="D43" i="29"/>
  <c r="E43" i="29"/>
  <c r="O43" i="29"/>
  <c r="K43" i="29"/>
  <c r="F27" i="29"/>
  <c r="G27" i="29"/>
  <c r="H27" i="29"/>
  <c r="I27" i="29"/>
  <c r="J27" i="29"/>
  <c r="D27" i="29"/>
  <c r="E27" i="29"/>
  <c r="O27" i="29"/>
  <c r="K27" i="29"/>
  <c r="F11" i="29"/>
  <c r="G11" i="29"/>
  <c r="H11" i="29"/>
  <c r="I11" i="29"/>
  <c r="J11" i="29"/>
  <c r="D11" i="29"/>
  <c r="E11" i="29"/>
  <c r="K11" i="29"/>
  <c r="O11" i="29"/>
  <c r="H306" i="29"/>
  <c r="G306" i="29"/>
  <c r="I306" i="29"/>
  <c r="J306" i="29"/>
  <c r="K306" i="29"/>
  <c r="D306" i="29"/>
  <c r="E306" i="29"/>
  <c r="F306" i="29"/>
  <c r="G290" i="29"/>
  <c r="H290" i="29"/>
  <c r="I290" i="29"/>
  <c r="J290" i="29"/>
  <c r="K290" i="29"/>
  <c r="D290" i="29"/>
  <c r="E290" i="29"/>
  <c r="F290" i="29"/>
  <c r="G274" i="29"/>
  <c r="H274" i="29"/>
  <c r="I274" i="29"/>
  <c r="J274" i="29"/>
  <c r="D274" i="29"/>
  <c r="K274" i="29"/>
  <c r="E274" i="29"/>
  <c r="F274" i="29"/>
  <c r="K258" i="29"/>
  <c r="E258" i="29"/>
  <c r="O258" i="29"/>
  <c r="F258" i="29"/>
  <c r="G258" i="29"/>
  <c r="H258" i="29"/>
  <c r="I258" i="29"/>
  <c r="J258" i="29"/>
  <c r="D258" i="29"/>
  <c r="F242" i="29"/>
  <c r="G242" i="29"/>
  <c r="H242" i="29"/>
  <c r="I242" i="29"/>
  <c r="O242" i="29"/>
  <c r="J242" i="29"/>
  <c r="K242" i="29"/>
  <c r="E242" i="29"/>
  <c r="D242" i="29"/>
  <c r="F226" i="29"/>
  <c r="G226" i="29"/>
  <c r="H226" i="29"/>
  <c r="E226" i="29"/>
  <c r="I226" i="29"/>
  <c r="J226" i="29"/>
  <c r="O226" i="29"/>
  <c r="K226" i="29"/>
  <c r="D226" i="29"/>
  <c r="K194" i="29"/>
  <c r="G194" i="29"/>
  <c r="O194" i="29"/>
  <c r="D194" i="29"/>
  <c r="F194" i="29"/>
  <c r="H194" i="29"/>
  <c r="I194" i="29"/>
  <c r="E194" i="29"/>
  <c r="J194" i="29"/>
  <c r="K182" i="29"/>
  <c r="D182" i="29"/>
  <c r="G182" i="29"/>
  <c r="J182" i="29"/>
  <c r="E182" i="29"/>
  <c r="H182" i="29"/>
  <c r="I182" i="29"/>
  <c r="F182" i="29"/>
  <c r="O182" i="29"/>
  <c r="K178" i="29"/>
  <c r="D178" i="29"/>
  <c r="G178" i="29"/>
  <c r="O178" i="29"/>
  <c r="E178" i="29"/>
  <c r="H178" i="29"/>
  <c r="I178" i="29"/>
  <c r="F178" i="29"/>
  <c r="J178" i="29"/>
  <c r="J166" i="29"/>
  <c r="K166" i="29"/>
  <c r="D166" i="29"/>
  <c r="G166" i="29"/>
  <c r="E166" i="29"/>
  <c r="F166" i="29"/>
  <c r="H166" i="29"/>
  <c r="O166" i="29"/>
  <c r="I166" i="29"/>
  <c r="J162" i="29"/>
  <c r="K162" i="29"/>
  <c r="D162" i="29"/>
  <c r="G162" i="29"/>
  <c r="E162" i="29"/>
  <c r="O162" i="29"/>
  <c r="H162" i="29"/>
  <c r="F162" i="29"/>
  <c r="I162" i="29"/>
  <c r="J130" i="29"/>
  <c r="K130" i="29"/>
  <c r="D130" i="29"/>
  <c r="G130" i="29"/>
  <c r="E130" i="29"/>
  <c r="H130" i="29"/>
  <c r="F130" i="29"/>
  <c r="I130" i="29"/>
  <c r="J114" i="29"/>
  <c r="K114" i="29"/>
  <c r="D114" i="29"/>
  <c r="E114" i="29"/>
  <c r="G114" i="29"/>
  <c r="F114" i="29"/>
  <c r="H114" i="29"/>
  <c r="I114" i="29"/>
  <c r="O114" i="29"/>
  <c r="J98" i="29"/>
  <c r="K98" i="29"/>
  <c r="O98" i="29"/>
  <c r="D98" i="29"/>
  <c r="E98" i="29"/>
  <c r="G98" i="29"/>
  <c r="F98" i="29"/>
  <c r="H98" i="29"/>
  <c r="I98" i="29"/>
  <c r="J82" i="29"/>
  <c r="K82" i="29"/>
  <c r="D82" i="29"/>
  <c r="E82" i="29"/>
  <c r="O82" i="29"/>
  <c r="G82" i="29"/>
  <c r="F82" i="29"/>
  <c r="H82" i="29"/>
  <c r="I82" i="29"/>
  <c r="J66" i="29"/>
  <c r="K66" i="29"/>
  <c r="D66" i="29"/>
  <c r="E66" i="29"/>
  <c r="G66" i="29"/>
  <c r="F66" i="29"/>
  <c r="O66" i="29"/>
  <c r="H66" i="29"/>
  <c r="I66" i="29"/>
  <c r="G50" i="29"/>
  <c r="H50" i="29"/>
  <c r="I50" i="29"/>
  <c r="J50" i="29"/>
  <c r="D50" i="29"/>
  <c r="E50" i="29"/>
  <c r="K50" i="29"/>
  <c r="O50" i="29"/>
  <c r="F50" i="29"/>
  <c r="G34" i="29"/>
  <c r="H34" i="29"/>
  <c r="O34" i="29"/>
  <c r="I34" i="29"/>
  <c r="J34" i="29"/>
  <c r="D34" i="29"/>
  <c r="E34" i="29"/>
  <c r="K34" i="29"/>
  <c r="F34" i="29"/>
  <c r="G18" i="29"/>
  <c r="H18" i="29"/>
  <c r="I18" i="29"/>
  <c r="J18" i="29"/>
  <c r="O18" i="29"/>
  <c r="D18" i="29"/>
  <c r="E18" i="29"/>
  <c r="K18" i="29"/>
  <c r="F18" i="29"/>
  <c r="F301" i="29"/>
  <c r="G301" i="29"/>
  <c r="H301" i="29"/>
  <c r="I301" i="29"/>
  <c r="J301" i="29"/>
  <c r="D301" i="29"/>
  <c r="K301" i="29"/>
  <c r="E301" i="29"/>
  <c r="O301" i="29"/>
  <c r="F285" i="29"/>
  <c r="G285" i="29"/>
  <c r="H285" i="29"/>
  <c r="I285" i="29"/>
  <c r="J285" i="29"/>
  <c r="K285" i="29"/>
  <c r="D285" i="29"/>
  <c r="E285" i="29"/>
  <c r="O285" i="29"/>
  <c r="F269" i="29"/>
  <c r="G269" i="29"/>
  <c r="H269" i="29"/>
  <c r="I269" i="29"/>
  <c r="J269" i="29"/>
  <c r="K269" i="29"/>
  <c r="D269" i="29"/>
  <c r="E269" i="29"/>
  <c r="D253" i="29"/>
  <c r="F253" i="29"/>
  <c r="G253" i="29"/>
  <c r="H253" i="29"/>
  <c r="I253" i="29"/>
  <c r="J253" i="29"/>
  <c r="K253" i="29"/>
  <c r="E253" i="29"/>
  <c r="O253" i="29"/>
  <c r="D237" i="29"/>
  <c r="F237" i="29"/>
  <c r="G237" i="29"/>
  <c r="I237" i="29"/>
  <c r="J237" i="29"/>
  <c r="K237" i="29"/>
  <c r="E237" i="29"/>
  <c r="H237" i="29"/>
  <c r="O237" i="29"/>
  <c r="D221" i="29"/>
  <c r="F221" i="29"/>
  <c r="G221" i="29"/>
  <c r="H221" i="29"/>
  <c r="I221" i="29"/>
  <c r="E221" i="29"/>
  <c r="J221" i="29"/>
  <c r="K221" i="29"/>
  <c r="O221" i="29"/>
  <c r="J205" i="29"/>
  <c r="K205" i="29"/>
  <c r="G205" i="29"/>
  <c r="E205" i="29"/>
  <c r="H205" i="29"/>
  <c r="I205" i="29"/>
  <c r="D205" i="29"/>
  <c r="F205" i="29"/>
  <c r="O205" i="29"/>
  <c r="J189" i="29"/>
  <c r="K189" i="29"/>
  <c r="G189" i="29"/>
  <c r="E189" i="29"/>
  <c r="H189" i="29"/>
  <c r="I189" i="29"/>
  <c r="D189" i="29"/>
  <c r="F189" i="29"/>
  <c r="O189" i="29"/>
  <c r="J173" i="29"/>
  <c r="K173" i="29"/>
  <c r="D173" i="29"/>
  <c r="G173" i="29"/>
  <c r="E173" i="29"/>
  <c r="F173" i="29"/>
  <c r="H173" i="29"/>
  <c r="I173" i="29"/>
  <c r="O173" i="29"/>
  <c r="I157" i="29"/>
  <c r="J157" i="29"/>
  <c r="K157" i="29"/>
  <c r="D157" i="29"/>
  <c r="G157" i="29"/>
  <c r="F157" i="29"/>
  <c r="H157" i="29"/>
  <c r="E157" i="29"/>
  <c r="O157" i="29"/>
  <c r="I141" i="29"/>
  <c r="J141" i="29"/>
  <c r="K141" i="29"/>
  <c r="D141" i="29"/>
  <c r="G141" i="29"/>
  <c r="F141" i="29"/>
  <c r="H141" i="29"/>
  <c r="E141" i="29"/>
  <c r="O141" i="29"/>
  <c r="I125" i="29"/>
  <c r="J125" i="29"/>
  <c r="K125" i="29"/>
  <c r="D125" i="29"/>
  <c r="G125" i="29"/>
  <c r="F125" i="29"/>
  <c r="H125" i="29"/>
  <c r="E125" i="29"/>
  <c r="I109" i="29"/>
  <c r="J109" i="29"/>
  <c r="K109" i="29"/>
  <c r="D109" i="29"/>
  <c r="E109" i="29"/>
  <c r="G109" i="29"/>
  <c r="H109" i="29"/>
  <c r="F109" i="29"/>
  <c r="O109" i="29"/>
  <c r="I93" i="29"/>
  <c r="J93" i="29"/>
  <c r="K93" i="29"/>
  <c r="D93" i="29"/>
  <c r="E93" i="29"/>
  <c r="G93" i="29"/>
  <c r="F93" i="29"/>
  <c r="H93" i="29"/>
  <c r="O93" i="29"/>
  <c r="I77" i="29"/>
  <c r="J77" i="29"/>
  <c r="K77" i="29"/>
  <c r="D77" i="29"/>
  <c r="E77" i="29"/>
  <c r="G77" i="29"/>
  <c r="H77" i="29"/>
  <c r="F77" i="29"/>
  <c r="O77" i="29"/>
  <c r="I61" i="29"/>
  <c r="J61" i="29"/>
  <c r="K61" i="29"/>
  <c r="D61" i="29"/>
  <c r="E61" i="29"/>
  <c r="G61" i="29"/>
  <c r="F61" i="29"/>
  <c r="H61" i="29"/>
  <c r="O61" i="29"/>
  <c r="F45" i="29"/>
  <c r="G45" i="29"/>
  <c r="H45" i="29"/>
  <c r="I45" i="29"/>
  <c r="J45" i="29"/>
  <c r="D45" i="29"/>
  <c r="E45" i="29"/>
  <c r="K45" i="29"/>
  <c r="O45" i="29"/>
  <c r="F29" i="29"/>
  <c r="G29" i="29"/>
  <c r="H29" i="29"/>
  <c r="I29" i="29"/>
  <c r="J29" i="29"/>
  <c r="D29" i="29"/>
  <c r="E29" i="29"/>
  <c r="K29" i="29"/>
  <c r="O29" i="29"/>
  <c r="G13" i="29"/>
  <c r="H13" i="29"/>
  <c r="I13" i="29"/>
  <c r="J13" i="29"/>
  <c r="D13" i="29"/>
  <c r="E13" i="29"/>
  <c r="F13" i="29"/>
  <c r="K13" i="29"/>
  <c r="O13" i="29"/>
  <c r="E260" i="29"/>
  <c r="F260" i="29"/>
  <c r="G260" i="29"/>
  <c r="H260" i="29"/>
  <c r="I260" i="29"/>
  <c r="J260" i="29"/>
  <c r="K260" i="29"/>
  <c r="O260" i="29"/>
  <c r="D260" i="29"/>
  <c r="F244" i="29"/>
  <c r="G244" i="29"/>
  <c r="E244" i="29"/>
  <c r="H244" i="29"/>
  <c r="I244" i="29"/>
  <c r="J244" i="29"/>
  <c r="K244" i="29"/>
  <c r="D244" i="29"/>
  <c r="O244" i="29"/>
  <c r="J111" i="29"/>
  <c r="K111" i="29"/>
  <c r="D111" i="29"/>
  <c r="E111" i="29"/>
  <c r="G111" i="29"/>
  <c r="O111" i="29"/>
  <c r="F111" i="29"/>
  <c r="H111" i="29"/>
  <c r="I111" i="29"/>
  <c r="F278" i="29"/>
  <c r="G278" i="29"/>
  <c r="H278" i="29"/>
  <c r="I278" i="29"/>
  <c r="J278" i="29"/>
  <c r="D278" i="29"/>
  <c r="K278" i="29"/>
  <c r="E278" i="29"/>
  <c r="O278" i="29"/>
  <c r="I102" i="29"/>
  <c r="J102" i="29"/>
  <c r="K102" i="29"/>
  <c r="D102" i="29"/>
  <c r="E102" i="29"/>
  <c r="G102" i="29"/>
  <c r="F102" i="29"/>
  <c r="H102" i="29"/>
  <c r="O102" i="29"/>
  <c r="F305" i="29"/>
  <c r="G305" i="29"/>
  <c r="H305" i="29"/>
  <c r="I305" i="29"/>
  <c r="J305" i="29"/>
  <c r="D305" i="29"/>
  <c r="K305" i="29"/>
  <c r="E305" i="29"/>
  <c r="O305" i="29"/>
  <c r="J209" i="29"/>
  <c r="K209" i="29"/>
  <c r="G209" i="29"/>
  <c r="D209" i="29"/>
  <c r="E209" i="29"/>
  <c r="F209" i="29"/>
  <c r="H209" i="29"/>
  <c r="I209" i="29"/>
  <c r="O209" i="29"/>
  <c r="J81" i="29"/>
  <c r="K81" i="29"/>
  <c r="D81" i="29"/>
  <c r="E81" i="29"/>
  <c r="O81" i="29"/>
  <c r="G81" i="29"/>
  <c r="F81" i="29"/>
  <c r="H81" i="29"/>
  <c r="I81" i="29"/>
  <c r="H8" i="29"/>
  <c r="F8" i="29"/>
  <c r="G8" i="29"/>
  <c r="E8" i="29"/>
  <c r="D8" i="29"/>
  <c r="K8" i="29"/>
  <c r="I8" i="29"/>
  <c r="J8" i="29"/>
  <c r="F294" i="29"/>
  <c r="G294" i="29"/>
  <c r="H294" i="29"/>
  <c r="I294" i="29"/>
  <c r="J294" i="29"/>
  <c r="K294" i="29"/>
  <c r="D294" i="29"/>
  <c r="E294" i="29"/>
  <c r="O294" i="29"/>
  <c r="F246" i="29"/>
  <c r="G246" i="29"/>
  <c r="E246" i="29"/>
  <c r="H246" i="29"/>
  <c r="I246" i="29"/>
  <c r="J246" i="29"/>
  <c r="K246" i="29"/>
  <c r="O246" i="29"/>
  <c r="D246" i="29"/>
  <c r="D230" i="29"/>
  <c r="F230" i="29"/>
  <c r="G230" i="29"/>
  <c r="H230" i="29"/>
  <c r="E230" i="29"/>
  <c r="I230" i="29"/>
  <c r="J230" i="29"/>
  <c r="K230" i="29"/>
  <c r="O230" i="29"/>
  <c r="G292" i="29"/>
  <c r="H292" i="29"/>
  <c r="I292" i="29"/>
  <c r="J292" i="29"/>
  <c r="K292" i="29"/>
  <c r="D292" i="29"/>
  <c r="E292" i="29"/>
  <c r="O292" i="29"/>
  <c r="F292" i="29"/>
  <c r="G276" i="29"/>
  <c r="H276" i="29"/>
  <c r="I276" i="29"/>
  <c r="J276" i="29"/>
  <c r="D276" i="29"/>
  <c r="K276" i="29"/>
  <c r="E276" i="29"/>
  <c r="F276" i="29"/>
  <c r="F228" i="29"/>
  <c r="G228" i="29"/>
  <c r="H228" i="29"/>
  <c r="E228" i="29"/>
  <c r="I228" i="29"/>
  <c r="J228" i="29"/>
  <c r="K228" i="29"/>
  <c r="D228" i="29"/>
  <c r="O228" i="29"/>
  <c r="K212" i="29"/>
  <c r="G212" i="29"/>
  <c r="D212" i="29"/>
  <c r="E212" i="29"/>
  <c r="F212" i="29"/>
  <c r="H212" i="29"/>
  <c r="I212" i="29"/>
  <c r="O212" i="29"/>
  <c r="J212" i="29"/>
  <c r="K196" i="29"/>
  <c r="G196" i="29"/>
  <c r="D196" i="29"/>
  <c r="E196" i="29"/>
  <c r="F196" i="29"/>
  <c r="H196" i="29"/>
  <c r="I196" i="29"/>
  <c r="J196" i="29"/>
  <c r="O196" i="29"/>
  <c r="K180" i="29"/>
  <c r="D180" i="29"/>
  <c r="G180" i="29"/>
  <c r="E180" i="29"/>
  <c r="H180" i="29"/>
  <c r="I180" i="29"/>
  <c r="F180" i="29"/>
  <c r="J180" i="29"/>
  <c r="O180" i="29"/>
  <c r="J164" i="29"/>
  <c r="K164" i="29"/>
  <c r="D164" i="29"/>
  <c r="G164" i="29"/>
  <c r="H164" i="29"/>
  <c r="E164" i="29"/>
  <c r="F164" i="29"/>
  <c r="I164" i="29"/>
  <c r="O164" i="29"/>
  <c r="J148" i="29"/>
  <c r="K148" i="29"/>
  <c r="D148" i="29"/>
  <c r="G148" i="29"/>
  <c r="H148" i="29"/>
  <c r="F148" i="29"/>
  <c r="E148" i="29"/>
  <c r="I148" i="29"/>
  <c r="J132" i="29"/>
  <c r="K132" i="29"/>
  <c r="D132" i="29"/>
  <c r="G132" i="29"/>
  <c r="H132" i="29"/>
  <c r="E132" i="29"/>
  <c r="F132" i="29"/>
  <c r="I132" i="29"/>
  <c r="J116" i="29"/>
  <c r="K116" i="29"/>
  <c r="D116" i="29"/>
  <c r="E116" i="29"/>
  <c r="G116" i="29"/>
  <c r="F116" i="29"/>
  <c r="H116" i="29"/>
  <c r="I116" i="29"/>
  <c r="J100" i="29"/>
  <c r="K100" i="29"/>
  <c r="D100" i="29"/>
  <c r="E100" i="29"/>
  <c r="G100" i="29"/>
  <c r="F100" i="29"/>
  <c r="H100" i="29"/>
  <c r="I100" i="29"/>
  <c r="O100" i="29"/>
  <c r="J84" i="29"/>
  <c r="K84" i="29"/>
  <c r="D84" i="29"/>
  <c r="E84" i="29"/>
  <c r="G84" i="29"/>
  <c r="F84" i="29"/>
  <c r="H84" i="29"/>
  <c r="O84" i="29"/>
  <c r="I84" i="29"/>
  <c r="J68" i="29"/>
  <c r="K68" i="29"/>
  <c r="D68" i="29"/>
  <c r="E68" i="29"/>
  <c r="G68" i="29"/>
  <c r="F68" i="29"/>
  <c r="H68" i="29"/>
  <c r="O68" i="29"/>
  <c r="I68" i="29"/>
  <c r="G52" i="29"/>
  <c r="H52" i="29"/>
  <c r="I52" i="29"/>
  <c r="J52" i="29"/>
  <c r="D52" i="29"/>
  <c r="E52" i="29"/>
  <c r="K52" i="29"/>
  <c r="F52" i="29"/>
  <c r="O52" i="29"/>
  <c r="G36" i="29"/>
  <c r="H36" i="29"/>
  <c r="I36" i="29"/>
  <c r="J36" i="29"/>
  <c r="D36" i="29"/>
  <c r="E36" i="29"/>
  <c r="K36" i="29"/>
  <c r="F36" i="29"/>
  <c r="O36" i="29"/>
  <c r="G20" i="29"/>
  <c r="H20" i="29"/>
  <c r="I20" i="29"/>
  <c r="J20" i="29"/>
  <c r="D20" i="29"/>
  <c r="E20" i="29"/>
  <c r="K20" i="29"/>
  <c r="O20" i="29"/>
  <c r="F20" i="29"/>
  <c r="U4" i="2"/>
  <c r="O24" i="45"/>
  <c r="G9" i="45"/>
  <c r="N8" i="2" l="1"/>
  <c r="N264" i="2"/>
  <c r="W264" i="53"/>
  <c r="N278" i="2"/>
  <c r="W278" i="53"/>
  <c r="N261" i="2"/>
  <c r="W261" i="53"/>
  <c r="N272" i="2"/>
  <c r="W272" i="53"/>
  <c r="N56" i="2"/>
  <c r="W56" i="53"/>
  <c r="N224" i="2"/>
  <c r="W224" i="53"/>
  <c r="N41" i="2"/>
  <c r="W41" i="53"/>
  <c r="N135" i="2"/>
  <c r="W135" i="53"/>
  <c r="N289" i="2"/>
  <c r="W289" i="53"/>
  <c r="N225" i="2"/>
  <c r="W225" i="53"/>
  <c r="N161" i="2"/>
  <c r="W161" i="53"/>
  <c r="N184" i="2"/>
  <c r="W184" i="53"/>
  <c r="N128" i="2"/>
  <c r="W128" i="53"/>
  <c r="N255" i="2"/>
  <c r="W255" i="53"/>
  <c r="N191" i="2"/>
  <c r="W191" i="53"/>
  <c r="N127" i="2"/>
  <c r="W127" i="53"/>
  <c r="N63" i="2"/>
  <c r="W63" i="53"/>
  <c r="N216" i="2"/>
  <c r="W216" i="53"/>
  <c r="N262" i="2"/>
  <c r="W262" i="53"/>
  <c r="N198" i="2"/>
  <c r="W198" i="53"/>
  <c r="N134" i="2"/>
  <c r="W134" i="53"/>
  <c r="N70" i="2"/>
  <c r="W70" i="53"/>
  <c r="N32" i="2"/>
  <c r="W32" i="53"/>
  <c r="N245" i="2"/>
  <c r="W245" i="53"/>
  <c r="N181" i="2"/>
  <c r="W181" i="53"/>
  <c r="N117" i="2"/>
  <c r="W117" i="53"/>
  <c r="N53" i="2"/>
  <c r="W53" i="53"/>
  <c r="N176" i="2"/>
  <c r="W176" i="53"/>
  <c r="N268" i="2"/>
  <c r="W268" i="53"/>
  <c r="N204" i="2"/>
  <c r="W204" i="53"/>
  <c r="N140" i="2"/>
  <c r="W140" i="53"/>
  <c r="N76" i="2"/>
  <c r="W76" i="53"/>
  <c r="N12" i="2"/>
  <c r="W12" i="53"/>
  <c r="N299" i="2"/>
  <c r="W299" i="53"/>
  <c r="N235" i="2"/>
  <c r="W235" i="53"/>
  <c r="N171" i="2"/>
  <c r="W171" i="53"/>
  <c r="N107" i="2"/>
  <c r="W107" i="53"/>
  <c r="N43" i="2"/>
  <c r="W43" i="53"/>
  <c r="N112" i="2"/>
  <c r="W112" i="53"/>
  <c r="N258" i="2"/>
  <c r="W258" i="53"/>
  <c r="N194" i="2"/>
  <c r="W194" i="53"/>
  <c r="N130" i="2"/>
  <c r="W130" i="53"/>
  <c r="N66" i="2"/>
  <c r="W66" i="53"/>
  <c r="N304" i="2"/>
  <c r="W304" i="53"/>
  <c r="N281" i="2"/>
  <c r="W281" i="53"/>
  <c r="N217" i="2"/>
  <c r="W217" i="53"/>
  <c r="N153" i="2"/>
  <c r="W153" i="53"/>
  <c r="N89" i="2"/>
  <c r="W89" i="53"/>
  <c r="N25" i="2"/>
  <c r="W25" i="53"/>
  <c r="N207" i="2"/>
  <c r="W207" i="53"/>
  <c r="N150" i="2"/>
  <c r="W150" i="53"/>
  <c r="N133" i="2"/>
  <c r="W133" i="53"/>
  <c r="N220" i="2"/>
  <c r="W220" i="53"/>
  <c r="N251" i="2"/>
  <c r="W251" i="53"/>
  <c r="N59" i="2"/>
  <c r="W59" i="53"/>
  <c r="N146" i="2"/>
  <c r="W146" i="53"/>
  <c r="N169" i="2"/>
  <c r="W169" i="53"/>
  <c r="N71" i="2"/>
  <c r="W71" i="53"/>
  <c r="N270" i="2"/>
  <c r="W270" i="53"/>
  <c r="N142" i="2"/>
  <c r="W142" i="53"/>
  <c r="N14" i="2"/>
  <c r="W14" i="53"/>
  <c r="N253" i="2"/>
  <c r="W253" i="53"/>
  <c r="N125" i="2"/>
  <c r="W125" i="53"/>
  <c r="N232" i="2"/>
  <c r="W232" i="53"/>
  <c r="N212" i="2"/>
  <c r="W212" i="53"/>
  <c r="N84" i="2"/>
  <c r="W84" i="53"/>
  <c r="N307" i="2"/>
  <c r="W307" i="53"/>
  <c r="N243" i="2"/>
  <c r="W243" i="53"/>
  <c r="N115" i="2"/>
  <c r="W115" i="53"/>
  <c r="N51" i="2"/>
  <c r="W51" i="53"/>
  <c r="N266" i="2"/>
  <c r="W266" i="53"/>
  <c r="N202" i="2"/>
  <c r="W202" i="53"/>
  <c r="N97" i="2"/>
  <c r="W97" i="53"/>
  <c r="N136" i="2"/>
  <c r="W136" i="53"/>
  <c r="N16" i="2"/>
  <c r="W16" i="53"/>
  <c r="N247" i="2"/>
  <c r="W247" i="53"/>
  <c r="N183" i="2"/>
  <c r="W183" i="53"/>
  <c r="N119" i="2"/>
  <c r="W119" i="53"/>
  <c r="N55" i="2"/>
  <c r="W55" i="53"/>
  <c r="N144" i="2"/>
  <c r="W144" i="53"/>
  <c r="N254" i="2"/>
  <c r="W254" i="53"/>
  <c r="N190" i="2"/>
  <c r="W190" i="53"/>
  <c r="N126" i="2"/>
  <c r="W126" i="53"/>
  <c r="N62" i="2"/>
  <c r="W62" i="53"/>
  <c r="N301" i="2"/>
  <c r="W301" i="53"/>
  <c r="N237" i="2"/>
  <c r="W237" i="53"/>
  <c r="N173" i="2"/>
  <c r="W173" i="53"/>
  <c r="N109" i="2"/>
  <c r="W109" i="53"/>
  <c r="N45" i="2"/>
  <c r="W45" i="53"/>
  <c r="N120" i="2"/>
  <c r="W120" i="53"/>
  <c r="N260" i="2"/>
  <c r="W260" i="53"/>
  <c r="N196" i="2"/>
  <c r="W196" i="53"/>
  <c r="N132" i="2"/>
  <c r="W132" i="53"/>
  <c r="N68" i="2"/>
  <c r="W68" i="53"/>
  <c r="N280" i="2"/>
  <c r="W280" i="53"/>
  <c r="N291" i="2"/>
  <c r="W291" i="53"/>
  <c r="N227" i="2"/>
  <c r="W227" i="53"/>
  <c r="N163" i="2"/>
  <c r="W163" i="53"/>
  <c r="N99" i="2"/>
  <c r="W99" i="53"/>
  <c r="N35" i="2"/>
  <c r="W35" i="53"/>
  <c r="N48" i="2"/>
  <c r="W48" i="53"/>
  <c r="N250" i="2"/>
  <c r="W250" i="53"/>
  <c r="N186" i="2"/>
  <c r="W186" i="53"/>
  <c r="N122" i="2"/>
  <c r="W122" i="53"/>
  <c r="N58" i="2"/>
  <c r="W58" i="53"/>
  <c r="N248" i="2"/>
  <c r="W248" i="53"/>
  <c r="N273" i="2"/>
  <c r="W273" i="53"/>
  <c r="N209" i="2"/>
  <c r="W209" i="53"/>
  <c r="N145" i="2"/>
  <c r="W145" i="53"/>
  <c r="N81" i="2"/>
  <c r="W81" i="53"/>
  <c r="N17" i="2"/>
  <c r="W17" i="53"/>
  <c r="N143" i="2"/>
  <c r="W143" i="53"/>
  <c r="N86" i="2"/>
  <c r="W86" i="53"/>
  <c r="N156" i="2"/>
  <c r="W156" i="53"/>
  <c r="N233" i="2"/>
  <c r="W233" i="53"/>
  <c r="N256" i="2"/>
  <c r="W256" i="53"/>
  <c r="N200" i="2"/>
  <c r="W200" i="53"/>
  <c r="N263" i="2"/>
  <c r="W263" i="53"/>
  <c r="N199" i="2"/>
  <c r="W199" i="53"/>
  <c r="N288" i="2"/>
  <c r="W288" i="53"/>
  <c r="N206" i="2"/>
  <c r="W206" i="53"/>
  <c r="N78" i="2"/>
  <c r="W78" i="53"/>
  <c r="N189" i="2"/>
  <c r="W189" i="53"/>
  <c r="N61" i="2"/>
  <c r="W61" i="53"/>
  <c r="N276" i="2"/>
  <c r="W276" i="53"/>
  <c r="N148" i="2"/>
  <c r="W148" i="53"/>
  <c r="N20" i="2"/>
  <c r="W20" i="53"/>
  <c r="N179" i="2"/>
  <c r="W179" i="53"/>
  <c r="N168" i="2"/>
  <c r="W168" i="53"/>
  <c r="N33" i="2"/>
  <c r="W33" i="53"/>
  <c r="N104" i="2"/>
  <c r="W104" i="53"/>
  <c r="N303" i="2"/>
  <c r="W303" i="53"/>
  <c r="N239" i="2"/>
  <c r="W239" i="53"/>
  <c r="N175" i="2"/>
  <c r="W175" i="53"/>
  <c r="N111" i="2"/>
  <c r="W111" i="53"/>
  <c r="N47" i="2"/>
  <c r="W47" i="53"/>
  <c r="N24" i="2"/>
  <c r="W24" i="53"/>
  <c r="N246" i="2"/>
  <c r="W246" i="53"/>
  <c r="N182" i="2"/>
  <c r="W182" i="53"/>
  <c r="N118" i="2"/>
  <c r="W118" i="53"/>
  <c r="N54" i="2"/>
  <c r="W54" i="53"/>
  <c r="N293" i="2"/>
  <c r="W293" i="53"/>
  <c r="N229" i="2"/>
  <c r="W229" i="53"/>
  <c r="N165" i="2"/>
  <c r="W165" i="53"/>
  <c r="N101" i="2"/>
  <c r="W101" i="53"/>
  <c r="N37" i="2"/>
  <c r="W37" i="53"/>
  <c r="N40" i="2"/>
  <c r="W40" i="53"/>
  <c r="N252" i="2"/>
  <c r="W252" i="53"/>
  <c r="N188" i="2"/>
  <c r="W188" i="53"/>
  <c r="N124" i="2"/>
  <c r="W124" i="53"/>
  <c r="N60" i="2"/>
  <c r="W60" i="53"/>
  <c r="N240" i="2"/>
  <c r="W240" i="53"/>
  <c r="N283" i="2"/>
  <c r="W283" i="53"/>
  <c r="N219" i="2"/>
  <c r="W219" i="53"/>
  <c r="N155" i="2"/>
  <c r="W155" i="53"/>
  <c r="N91" i="2"/>
  <c r="W91" i="53"/>
  <c r="N27" i="2"/>
  <c r="W27" i="53"/>
  <c r="N306" i="2"/>
  <c r="W306" i="53"/>
  <c r="N242" i="2"/>
  <c r="W242" i="53"/>
  <c r="N178" i="2"/>
  <c r="W178" i="53"/>
  <c r="N114" i="2"/>
  <c r="W114" i="53"/>
  <c r="D23" i="59" s="1"/>
  <c r="N50" i="2"/>
  <c r="W50" i="53"/>
  <c r="N208" i="2"/>
  <c r="W208" i="53"/>
  <c r="N265" i="2"/>
  <c r="W265" i="53"/>
  <c r="N201" i="2"/>
  <c r="W201" i="53"/>
  <c r="N137" i="2"/>
  <c r="W137" i="53"/>
  <c r="N73" i="2"/>
  <c r="W73" i="53"/>
  <c r="N9" i="2"/>
  <c r="W9" i="53"/>
  <c r="N79" i="2"/>
  <c r="W79" i="53"/>
  <c r="N105" i="2"/>
  <c r="W105" i="53"/>
  <c r="N74" i="2"/>
  <c r="W74" i="53"/>
  <c r="N88" i="2"/>
  <c r="W88" i="53"/>
  <c r="N295" i="2"/>
  <c r="W295" i="53"/>
  <c r="N231" i="2"/>
  <c r="W231" i="53"/>
  <c r="N167" i="2"/>
  <c r="W167" i="53"/>
  <c r="N103" i="2"/>
  <c r="W103" i="53"/>
  <c r="N39" i="2"/>
  <c r="W39" i="53"/>
  <c r="N302" i="2"/>
  <c r="W302" i="53"/>
  <c r="N238" i="2"/>
  <c r="W238" i="53"/>
  <c r="N174" i="2"/>
  <c r="W174" i="53"/>
  <c r="N110" i="2"/>
  <c r="W110" i="53"/>
  <c r="N46" i="2"/>
  <c r="W46" i="53"/>
  <c r="N285" i="2"/>
  <c r="W285" i="53"/>
  <c r="N221" i="2"/>
  <c r="W221" i="53"/>
  <c r="N157" i="2"/>
  <c r="W157" i="53"/>
  <c r="N93" i="2"/>
  <c r="W93" i="53"/>
  <c r="N29" i="2"/>
  <c r="W29" i="53"/>
  <c r="N244" i="2"/>
  <c r="W244" i="53"/>
  <c r="N180" i="2"/>
  <c r="W180" i="53"/>
  <c r="N116" i="2"/>
  <c r="W116" i="53"/>
  <c r="N52" i="2"/>
  <c r="W52" i="53"/>
  <c r="N192" i="2"/>
  <c r="W192" i="53"/>
  <c r="N275" i="2"/>
  <c r="W275" i="53"/>
  <c r="N211" i="2"/>
  <c r="W211" i="53"/>
  <c r="N147" i="2"/>
  <c r="W147" i="53"/>
  <c r="N83" i="2"/>
  <c r="W83" i="53"/>
  <c r="N19" i="2"/>
  <c r="W19" i="53"/>
  <c r="N298" i="2"/>
  <c r="W298" i="53"/>
  <c r="N234" i="2"/>
  <c r="W234" i="53"/>
  <c r="N170" i="2"/>
  <c r="W170" i="53"/>
  <c r="N106" i="2"/>
  <c r="W106" i="53"/>
  <c r="N42" i="2"/>
  <c r="W42" i="53"/>
  <c r="N152" i="2"/>
  <c r="W152" i="53"/>
  <c r="N257" i="2"/>
  <c r="W257" i="53"/>
  <c r="N193" i="2"/>
  <c r="W193" i="53"/>
  <c r="N129" i="2"/>
  <c r="W129" i="53"/>
  <c r="N65" i="2"/>
  <c r="W65" i="53"/>
  <c r="N15" i="2"/>
  <c r="W15" i="53"/>
  <c r="N22" i="2"/>
  <c r="W22" i="53"/>
  <c r="N69" i="2"/>
  <c r="W69" i="53"/>
  <c r="N92" i="2"/>
  <c r="W92" i="53"/>
  <c r="N187" i="2"/>
  <c r="W187" i="53"/>
  <c r="N274" i="2"/>
  <c r="W274" i="53"/>
  <c r="N82" i="2"/>
  <c r="W82" i="53"/>
  <c r="N297" i="2"/>
  <c r="W297" i="53"/>
  <c r="N10" i="2"/>
  <c r="W10" i="53"/>
  <c r="N80" i="2"/>
  <c r="W80" i="53"/>
  <c r="N287" i="2"/>
  <c r="W287" i="53"/>
  <c r="N223" i="2"/>
  <c r="W223" i="53"/>
  <c r="N159" i="2"/>
  <c r="W159" i="53"/>
  <c r="N95" i="2"/>
  <c r="W95" i="53"/>
  <c r="N31" i="2"/>
  <c r="W31" i="53"/>
  <c r="N294" i="2"/>
  <c r="W294" i="53"/>
  <c r="N230" i="2"/>
  <c r="W230" i="53"/>
  <c r="N166" i="2"/>
  <c r="W166" i="53"/>
  <c r="N102" i="2"/>
  <c r="W102" i="53"/>
  <c r="N38" i="2"/>
  <c r="W38" i="53"/>
  <c r="N277" i="2"/>
  <c r="W277" i="53"/>
  <c r="N213" i="2"/>
  <c r="W213" i="53"/>
  <c r="N149" i="2"/>
  <c r="W149" i="53"/>
  <c r="N85" i="2"/>
  <c r="W85" i="53"/>
  <c r="N21" i="2"/>
  <c r="W21" i="53"/>
  <c r="N300" i="2"/>
  <c r="W300" i="53"/>
  <c r="N236" i="2"/>
  <c r="W236" i="53"/>
  <c r="N172" i="2"/>
  <c r="W172" i="53"/>
  <c r="N108" i="2"/>
  <c r="W108" i="53"/>
  <c r="N44" i="2"/>
  <c r="W44" i="53"/>
  <c r="N160" i="2"/>
  <c r="W160" i="53"/>
  <c r="N267" i="2"/>
  <c r="W267" i="53"/>
  <c r="N203" i="2"/>
  <c r="W203" i="53"/>
  <c r="N139" i="2"/>
  <c r="W139" i="53"/>
  <c r="N75" i="2"/>
  <c r="W75" i="53"/>
  <c r="N11" i="2"/>
  <c r="W11" i="53"/>
  <c r="N290" i="2"/>
  <c r="W290" i="53"/>
  <c r="N226" i="2"/>
  <c r="W226" i="53"/>
  <c r="N162" i="2"/>
  <c r="W162" i="53"/>
  <c r="N98" i="2"/>
  <c r="W98" i="53"/>
  <c r="N34" i="2"/>
  <c r="W34" i="53"/>
  <c r="N64" i="2"/>
  <c r="W64" i="53"/>
  <c r="N249" i="2"/>
  <c r="W249" i="53"/>
  <c r="N185" i="2"/>
  <c r="W185" i="53"/>
  <c r="N121" i="2"/>
  <c r="W121" i="53"/>
  <c r="N57" i="2"/>
  <c r="W57" i="53"/>
  <c r="N271" i="2"/>
  <c r="W271" i="53"/>
  <c r="N214" i="2"/>
  <c r="W214" i="53"/>
  <c r="N197" i="2"/>
  <c r="W197" i="53"/>
  <c r="N284" i="2"/>
  <c r="W284" i="53"/>
  <c r="N28" i="2"/>
  <c r="W28" i="53"/>
  <c r="N123" i="2"/>
  <c r="W123" i="53"/>
  <c r="N210" i="2"/>
  <c r="W210" i="53"/>
  <c r="N18" i="2"/>
  <c r="W18" i="53"/>
  <c r="N138" i="2"/>
  <c r="W138" i="53"/>
  <c r="N72" i="2"/>
  <c r="W72" i="53"/>
  <c r="N279" i="2"/>
  <c r="W279" i="53"/>
  <c r="N215" i="2"/>
  <c r="W215" i="53"/>
  <c r="N151" i="2"/>
  <c r="W151" i="53"/>
  <c r="N87" i="2"/>
  <c r="W87" i="53"/>
  <c r="N23" i="2"/>
  <c r="W23" i="53"/>
  <c r="N286" i="2"/>
  <c r="W286" i="53"/>
  <c r="N222" i="2"/>
  <c r="W222" i="53"/>
  <c r="N158" i="2"/>
  <c r="W158" i="53"/>
  <c r="N94" i="2"/>
  <c r="W94" i="53"/>
  <c r="N30" i="2"/>
  <c r="W30" i="53"/>
  <c r="N269" i="2"/>
  <c r="W269" i="53"/>
  <c r="N205" i="2"/>
  <c r="W205" i="53"/>
  <c r="N141" i="2"/>
  <c r="W141" i="53"/>
  <c r="N77" i="2"/>
  <c r="W77" i="53"/>
  <c r="N13" i="2"/>
  <c r="W13" i="53"/>
  <c r="N292" i="2"/>
  <c r="W292" i="53"/>
  <c r="N228" i="2"/>
  <c r="W228" i="53"/>
  <c r="N164" i="2"/>
  <c r="W164" i="53"/>
  <c r="N100" i="2"/>
  <c r="W100" i="53"/>
  <c r="N36" i="2"/>
  <c r="W36" i="53"/>
  <c r="N96" i="2"/>
  <c r="W96" i="53"/>
  <c r="N259" i="2"/>
  <c r="W259" i="53"/>
  <c r="N195" i="2"/>
  <c r="W195" i="53"/>
  <c r="N131" i="2"/>
  <c r="W131" i="53"/>
  <c r="N67" i="2"/>
  <c r="W67" i="53"/>
  <c r="N296" i="2"/>
  <c r="W296" i="53"/>
  <c r="N282" i="2"/>
  <c r="W282" i="53"/>
  <c r="N218" i="2"/>
  <c r="W218" i="53"/>
  <c r="N154" i="2"/>
  <c r="W154" i="53"/>
  <c r="N90" i="2"/>
  <c r="W90" i="53"/>
  <c r="N26" i="2"/>
  <c r="W26" i="53"/>
  <c r="N305" i="2"/>
  <c r="W305" i="53"/>
  <c r="N241" i="2"/>
  <c r="W241" i="53"/>
  <c r="N177" i="2"/>
  <c r="W177" i="53"/>
  <c r="N113" i="2"/>
  <c r="W113" i="53"/>
  <c r="N49" i="2"/>
  <c r="W49" i="53"/>
  <c r="S308" i="21"/>
  <c r="T6" i="21" s="1"/>
  <c r="K308" i="29"/>
  <c r="P23" i="45"/>
  <c r="U23" i="45"/>
  <c r="L242" i="29"/>
  <c r="L65" i="29"/>
  <c r="L209" i="29"/>
  <c r="L203" i="29"/>
  <c r="L112" i="29"/>
  <c r="L79" i="29"/>
  <c r="L14" i="29"/>
  <c r="L238" i="29"/>
  <c r="L39" i="29"/>
  <c r="L55" i="29"/>
  <c r="L135" i="29"/>
  <c r="L151" i="29"/>
  <c r="L231" i="29"/>
  <c r="L295" i="29"/>
  <c r="L33" i="29"/>
  <c r="L246" i="29"/>
  <c r="L253" i="29"/>
  <c r="L224" i="29"/>
  <c r="L81" i="29"/>
  <c r="L162" i="29"/>
  <c r="L171" i="29"/>
  <c r="L144" i="29"/>
  <c r="L92" i="29"/>
  <c r="L108" i="29"/>
  <c r="L124" i="29"/>
  <c r="L128" i="29"/>
  <c r="L57" i="29"/>
  <c r="L181" i="29"/>
  <c r="L277" i="29"/>
  <c r="L154" i="29"/>
  <c r="L190" i="29"/>
  <c r="L250" i="29"/>
  <c r="L179" i="29"/>
  <c r="L211" i="29"/>
  <c r="L54" i="29"/>
  <c r="L191" i="29"/>
  <c r="L36" i="29"/>
  <c r="L220" i="29"/>
  <c r="L222" i="29"/>
  <c r="L180" i="29"/>
  <c r="L278" i="29"/>
  <c r="L244" i="29"/>
  <c r="L260" i="29"/>
  <c r="L173" i="29"/>
  <c r="L50" i="29"/>
  <c r="L166" i="29"/>
  <c r="L258" i="29"/>
  <c r="L134" i="29"/>
  <c r="L31" i="29"/>
  <c r="L160" i="29"/>
  <c r="L192" i="29"/>
  <c r="L240" i="29"/>
  <c r="L257" i="29"/>
  <c r="L127" i="29"/>
  <c r="L153" i="29"/>
  <c r="L233" i="29"/>
  <c r="L30" i="29"/>
  <c r="L142" i="29"/>
  <c r="L158" i="29"/>
  <c r="L215" i="29"/>
  <c r="L247" i="29"/>
  <c r="L38" i="29"/>
  <c r="L12" i="29"/>
  <c r="L236" i="29"/>
  <c r="L137" i="29"/>
  <c r="L9" i="29"/>
  <c r="L69" i="29"/>
  <c r="L186" i="29"/>
  <c r="L275" i="29"/>
  <c r="L177" i="29"/>
  <c r="L198" i="29"/>
  <c r="L72" i="29"/>
  <c r="L204" i="29"/>
  <c r="L264" i="29"/>
  <c r="L296" i="29"/>
  <c r="L86" i="29"/>
  <c r="L214" i="29"/>
  <c r="L52" i="29"/>
  <c r="L196" i="29"/>
  <c r="L212" i="29"/>
  <c r="J308" i="29"/>
  <c r="J309" i="29"/>
  <c r="L102" i="29"/>
  <c r="L61" i="29"/>
  <c r="L269" i="29"/>
  <c r="L59" i="29"/>
  <c r="L16" i="29"/>
  <c r="L208" i="29"/>
  <c r="L256" i="29"/>
  <c r="L146" i="29"/>
  <c r="L64" i="29"/>
  <c r="L169" i="29"/>
  <c r="L249" i="29"/>
  <c r="L46" i="29"/>
  <c r="L206" i="29"/>
  <c r="L167" i="29"/>
  <c r="L262" i="29"/>
  <c r="L28" i="29"/>
  <c r="L156" i="29"/>
  <c r="L252" i="29"/>
  <c r="L21" i="29"/>
  <c r="L293" i="29"/>
  <c r="L170" i="29"/>
  <c r="L202" i="29"/>
  <c r="L67" i="29"/>
  <c r="L118" i="29"/>
  <c r="L271" i="29"/>
  <c r="L56" i="29"/>
  <c r="L88" i="29"/>
  <c r="L280" i="29"/>
  <c r="L47" i="29"/>
  <c r="H308" i="29"/>
  <c r="H309" i="29"/>
  <c r="I308" i="29"/>
  <c r="I309" i="29"/>
  <c r="L77" i="29"/>
  <c r="L285" i="29"/>
  <c r="L178" i="29"/>
  <c r="L194" i="29"/>
  <c r="L75" i="29"/>
  <c r="L267" i="29"/>
  <c r="L283" i="29"/>
  <c r="L32" i="29"/>
  <c r="L176" i="29"/>
  <c r="L210" i="29"/>
  <c r="L97" i="29"/>
  <c r="L80" i="29"/>
  <c r="L41" i="29"/>
  <c r="L185" i="29"/>
  <c r="L201" i="29"/>
  <c r="L270" i="29"/>
  <c r="L71" i="29"/>
  <c r="L113" i="29"/>
  <c r="L150" i="29"/>
  <c r="L15" i="29"/>
  <c r="L207" i="29"/>
  <c r="L255" i="29"/>
  <c r="L44" i="29"/>
  <c r="L25" i="29"/>
  <c r="L73" i="29"/>
  <c r="L85" i="29"/>
  <c r="L58" i="29"/>
  <c r="L266" i="29"/>
  <c r="L83" i="29"/>
  <c r="L291" i="29"/>
  <c r="L104" i="29"/>
  <c r="L225" i="29"/>
  <c r="L292" i="29"/>
  <c r="L294" i="29"/>
  <c r="L93" i="29"/>
  <c r="L66" i="29"/>
  <c r="L182" i="29"/>
  <c r="L290" i="29"/>
  <c r="L306" i="29"/>
  <c r="L91" i="29"/>
  <c r="L299" i="29"/>
  <c r="L63" i="29"/>
  <c r="L143" i="29"/>
  <c r="L48" i="29"/>
  <c r="L129" i="29"/>
  <c r="L239" i="29"/>
  <c r="L174" i="29"/>
  <c r="L286" i="29"/>
  <c r="L302" i="29"/>
  <c r="L183" i="29"/>
  <c r="L263" i="29"/>
  <c r="L172" i="29"/>
  <c r="L188" i="29"/>
  <c r="L254" i="29"/>
  <c r="L175" i="29"/>
  <c r="L140" i="29"/>
  <c r="L37" i="29"/>
  <c r="L101" i="29"/>
  <c r="L117" i="29"/>
  <c r="L197" i="29"/>
  <c r="L229" i="29"/>
  <c r="L74" i="29"/>
  <c r="L298" i="29"/>
  <c r="L99" i="29"/>
  <c r="L115" i="29"/>
  <c r="L131" i="29"/>
  <c r="L307" i="29"/>
  <c r="L241" i="29"/>
  <c r="L95" i="29"/>
  <c r="L303" i="29"/>
  <c r="L24" i="29"/>
  <c r="L136" i="29"/>
  <c r="L152" i="29"/>
  <c r="L216" i="29"/>
  <c r="L282" i="29"/>
  <c r="L49" i="29"/>
  <c r="F309" i="29"/>
  <c r="F308" i="29"/>
  <c r="L276" i="29"/>
  <c r="L68" i="29"/>
  <c r="L84" i="29"/>
  <c r="L8" i="29"/>
  <c r="D309" i="29"/>
  <c r="D308" i="29"/>
  <c r="L111" i="29"/>
  <c r="L109" i="29"/>
  <c r="L125" i="29"/>
  <c r="L301" i="29"/>
  <c r="L82" i="29"/>
  <c r="L98" i="29"/>
  <c r="L274" i="29"/>
  <c r="L11" i="29"/>
  <c r="L107" i="29"/>
  <c r="L123" i="29"/>
  <c r="L139" i="29"/>
  <c r="L219" i="29"/>
  <c r="L272" i="29"/>
  <c r="L161" i="29"/>
  <c r="L265" i="29"/>
  <c r="L281" i="29"/>
  <c r="L87" i="29"/>
  <c r="L279" i="29"/>
  <c r="L268" i="29"/>
  <c r="L300" i="29"/>
  <c r="L53" i="29"/>
  <c r="L133" i="29"/>
  <c r="L149" i="29"/>
  <c r="L213" i="29"/>
  <c r="L245" i="29"/>
  <c r="L90" i="29"/>
  <c r="L106" i="29"/>
  <c r="L19" i="29"/>
  <c r="L147" i="29"/>
  <c r="L227" i="29"/>
  <c r="L40" i="29"/>
  <c r="L168" i="29"/>
  <c r="L200" i="29"/>
  <c r="L232" i="29"/>
  <c r="K309" i="29"/>
  <c r="L100" i="29"/>
  <c r="L116" i="29"/>
  <c r="L132" i="29"/>
  <c r="L148" i="29"/>
  <c r="L228" i="29"/>
  <c r="E309" i="29"/>
  <c r="E308" i="29"/>
  <c r="L13" i="29"/>
  <c r="L29" i="29"/>
  <c r="L141" i="29"/>
  <c r="L189" i="29"/>
  <c r="L221" i="29"/>
  <c r="L18" i="29"/>
  <c r="L27" i="29"/>
  <c r="L155" i="29"/>
  <c r="L235" i="29"/>
  <c r="L120" i="29"/>
  <c r="L22" i="29"/>
  <c r="L288" i="29"/>
  <c r="L304" i="29"/>
  <c r="L89" i="29"/>
  <c r="L105" i="29"/>
  <c r="L62" i="29"/>
  <c r="L103" i="29"/>
  <c r="L287" i="29"/>
  <c r="L60" i="29"/>
  <c r="L284" i="29"/>
  <c r="L273" i="29"/>
  <c r="L165" i="29"/>
  <c r="L261" i="29"/>
  <c r="L10" i="29"/>
  <c r="L26" i="29"/>
  <c r="L122" i="29"/>
  <c r="L218" i="29"/>
  <c r="L35" i="29"/>
  <c r="L163" i="29"/>
  <c r="L243" i="29"/>
  <c r="L17" i="29"/>
  <c r="L248" i="29"/>
  <c r="L20" i="29"/>
  <c r="L164" i="29"/>
  <c r="L230" i="29"/>
  <c r="G308" i="29"/>
  <c r="G309" i="29"/>
  <c r="L305" i="29"/>
  <c r="L45" i="29"/>
  <c r="L157" i="29"/>
  <c r="L205" i="29"/>
  <c r="L237" i="29"/>
  <c r="L34" i="29"/>
  <c r="L114" i="29"/>
  <c r="L130" i="29"/>
  <c r="L226" i="29"/>
  <c r="L43" i="29"/>
  <c r="L187" i="29"/>
  <c r="L251" i="29"/>
  <c r="L96" i="29"/>
  <c r="L70" i="29"/>
  <c r="L121" i="29"/>
  <c r="L217" i="29"/>
  <c r="L297" i="29"/>
  <c r="L78" i="29"/>
  <c r="L94" i="29"/>
  <c r="L110" i="29"/>
  <c r="L126" i="29"/>
  <c r="L23" i="29"/>
  <c r="L119" i="29"/>
  <c r="L199" i="29"/>
  <c r="L289" i="29"/>
  <c r="L159" i="29"/>
  <c r="L76" i="29"/>
  <c r="L42" i="29"/>
  <c r="L138" i="29"/>
  <c r="L234" i="29"/>
  <c r="L51" i="29"/>
  <c r="L195" i="29"/>
  <c r="L259" i="29"/>
  <c r="L145" i="29"/>
  <c r="L184" i="29"/>
  <c r="L193" i="29"/>
  <c r="L223" i="29"/>
  <c r="V3" i="9"/>
  <c r="I27" i="45" s="1"/>
  <c r="Q6" i="9"/>
  <c r="I3" i="9"/>
  <c r="K18" i="50"/>
  <c r="V5" i="9" s="1"/>
  <c r="G18" i="50"/>
  <c r="I15" i="45" s="1"/>
  <c r="C18" i="50"/>
  <c r="I5" i="9" s="1"/>
  <c r="Q4" i="29"/>
  <c r="U10" i="50"/>
  <c r="K5" i="29" s="1"/>
  <c r="D5" i="21"/>
  <c r="E5" i="21"/>
  <c r="G5" i="21"/>
  <c r="H5" i="21"/>
  <c r="I5" i="21"/>
  <c r="E4" i="21"/>
  <c r="F4" i="21"/>
  <c r="G4" i="21"/>
  <c r="H4" i="21"/>
  <c r="I4" i="21"/>
  <c r="J4" i="21"/>
  <c r="D4" i="21"/>
  <c r="O12" i="50"/>
  <c r="E6" i="21" s="1"/>
  <c r="P12" i="50"/>
  <c r="F6" i="21" s="1"/>
  <c r="R12" i="50"/>
  <c r="G6" i="21" s="1"/>
  <c r="S12" i="50"/>
  <c r="H6" i="21" s="1"/>
  <c r="T12" i="50"/>
  <c r="I6" i="21" s="1"/>
  <c r="U12" i="50"/>
  <c r="N12" i="50"/>
  <c r="D6" i="21" s="1"/>
  <c r="W308" i="53" l="1"/>
  <c r="S6" i="21"/>
  <c r="J6" i="21"/>
  <c r="T13" i="45" s="1"/>
  <c r="I29" i="45"/>
  <c r="I7" i="45"/>
  <c r="I9" i="45"/>
  <c r="N5" i="9"/>
  <c r="M8" i="9" s="1"/>
  <c r="N8" i="9" s="1"/>
  <c r="J5" i="21"/>
  <c r="Q3" i="29"/>
  <c r="M46" i="9" l="1"/>
  <c r="N46" i="9" s="1"/>
  <c r="M307" i="9"/>
  <c r="N307" i="9" s="1"/>
  <c r="M71" i="9"/>
  <c r="N71" i="9" s="1"/>
  <c r="M112" i="9"/>
  <c r="N112" i="9" s="1"/>
  <c r="M61" i="9"/>
  <c r="N61" i="9" s="1"/>
  <c r="M242" i="9"/>
  <c r="N242" i="9" s="1"/>
  <c r="M150" i="9"/>
  <c r="N150" i="9" s="1"/>
  <c r="M240" i="9"/>
  <c r="N240" i="9" s="1"/>
  <c r="M253" i="9"/>
  <c r="M204" i="9"/>
  <c r="N204" i="9" s="1"/>
  <c r="M304" i="9"/>
  <c r="N304" i="9" s="1"/>
  <c r="M183" i="9"/>
  <c r="N183" i="9" s="1"/>
  <c r="M108" i="9"/>
  <c r="N108" i="9" s="1"/>
  <c r="M262" i="9"/>
  <c r="N262" i="9" s="1"/>
  <c r="M187" i="9"/>
  <c r="N187" i="9" s="1"/>
  <c r="M149" i="9"/>
  <c r="N149" i="9" s="1"/>
  <c r="M83" i="9"/>
  <c r="N83" i="9" s="1"/>
  <c r="M120" i="9"/>
  <c r="N120" i="9" s="1"/>
  <c r="M154" i="9"/>
  <c r="N154" i="9" s="1"/>
  <c r="M34" i="9"/>
  <c r="N34" i="9" s="1"/>
  <c r="M290" i="9"/>
  <c r="N290" i="9" s="1"/>
  <c r="M200" i="9"/>
  <c r="N200" i="9" s="1"/>
  <c r="M63" i="9"/>
  <c r="N63" i="9" s="1"/>
  <c r="M142" i="9"/>
  <c r="N142" i="9" s="1"/>
  <c r="M277" i="9"/>
  <c r="N277" i="9" s="1"/>
  <c r="M37" i="9"/>
  <c r="N37" i="9" s="1"/>
  <c r="M188" i="9"/>
  <c r="N188" i="9" s="1"/>
  <c r="M208" i="9"/>
  <c r="N208" i="9" s="1"/>
  <c r="M179" i="9"/>
  <c r="N179" i="9" s="1"/>
  <c r="M64" i="9"/>
  <c r="N64" i="9" s="1"/>
  <c r="M234" i="9"/>
  <c r="N234" i="9" s="1"/>
  <c r="M130" i="9"/>
  <c r="N130" i="9" s="1"/>
  <c r="M280" i="9"/>
  <c r="N280" i="9" s="1"/>
  <c r="M153" i="9"/>
  <c r="N153" i="9" s="1"/>
  <c r="M168" i="9"/>
  <c r="N168" i="9" s="1"/>
  <c r="M151" i="9"/>
  <c r="N151" i="9" s="1"/>
  <c r="M55" i="9"/>
  <c r="N55" i="9" s="1"/>
  <c r="M222" i="9"/>
  <c r="N222" i="9" s="1"/>
  <c r="M134" i="9"/>
  <c r="N134" i="9" s="1"/>
  <c r="M22" i="9"/>
  <c r="N22" i="9" s="1"/>
  <c r="M229" i="9"/>
  <c r="N229" i="9" s="1"/>
  <c r="M133" i="9"/>
  <c r="N133" i="9" s="1"/>
  <c r="M21" i="9"/>
  <c r="N21" i="9" s="1"/>
  <c r="M292" i="9"/>
  <c r="N292" i="9" s="1"/>
  <c r="M180" i="9"/>
  <c r="N180" i="9" s="1"/>
  <c r="M76" i="9"/>
  <c r="N76" i="9" s="1"/>
  <c r="M176" i="9"/>
  <c r="N176" i="9" s="1"/>
  <c r="M259" i="9"/>
  <c r="N259" i="9" s="1"/>
  <c r="M171" i="9"/>
  <c r="N171" i="9" s="1"/>
  <c r="M59" i="9"/>
  <c r="N59" i="9" s="1"/>
  <c r="M223" i="9"/>
  <c r="N223" i="9" s="1"/>
  <c r="M226" i="9"/>
  <c r="N226" i="9" s="1"/>
  <c r="M114" i="9"/>
  <c r="N114" i="9" s="1"/>
  <c r="M152" i="9"/>
  <c r="N152" i="9" s="1"/>
  <c r="M265" i="9"/>
  <c r="N265" i="9" s="1"/>
  <c r="M137" i="9"/>
  <c r="N137" i="9" s="1"/>
  <c r="M175" i="9"/>
  <c r="N175" i="9" s="1"/>
  <c r="M270" i="9"/>
  <c r="N270" i="9" s="1"/>
  <c r="M30" i="9"/>
  <c r="N30" i="9" s="1"/>
  <c r="M141" i="9"/>
  <c r="N141" i="9" s="1"/>
  <c r="M300" i="9"/>
  <c r="N300" i="9" s="1"/>
  <c r="M100" i="9"/>
  <c r="N100" i="9" s="1"/>
  <c r="M275" i="9"/>
  <c r="N275" i="9" s="1"/>
  <c r="M67" i="9"/>
  <c r="N67" i="9" s="1"/>
  <c r="M281" i="9"/>
  <c r="N281" i="9" s="1"/>
  <c r="M136" i="9"/>
  <c r="N136" i="9" s="1"/>
  <c r="M135" i="9"/>
  <c r="N135" i="9" s="1"/>
  <c r="M47" i="9"/>
  <c r="N47" i="9" s="1"/>
  <c r="M214" i="9"/>
  <c r="N214" i="9" s="1"/>
  <c r="M110" i="9"/>
  <c r="N110" i="9" s="1"/>
  <c r="M14" i="9"/>
  <c r="N14" i="9" s="1"/>
  <c r="M213" i="9"/>
  <c r="N213" i="9" s="1"/>
  <c r="M125" i="9"/>
  <c r="N125" i="9" s="1"/>
  <c r="M13" i="9"/>
  <c r="N13" i="9" s="1"/>
  <c r="M268" i="9"/>
  <c r="N268" i="9" s="1"/>
  <c r="M172" i="9"/>
  <c r="N172" i="9" s="1"/>
  <c r="M60" i="9"/>
  <c r="N60" i="9" s="1"/>
  <c r="M128" i="9"/>
  <c r="N128" i="9" s="1"/>
  <c r="M251" i="9"/>
  <c r="N251" i="9" s="1"/>
  <c r="M147" i="9"/>
  <c r="N147" i="9" s="1"/>
  <c r="M51" i="9"/>
  <c r="N51" i="9" s="1"/>
  <c r="M293" i="9"/>
  <c r="N293" i="9" s="1"/>
  <c r="M218" i="9"/>
  <c r="N218" i="9" s="1"/>
  <c r="M106" i="9"/>
  <c r="N106" i="9" s="1"/>
  <c r="M24" i="9"/>
  <c r="N24" i="9" s="1"/>
  <c r="M257" i="9"/>
  <c r="N257" i="9" s="1"/>
  <c r="M129" i="9"/>
  <c r="N129" i="9" s="1"/>
  <c r="M127" i="9"/>
  <c r="N127" i="9" s="1"/>
  <c r="M206" i="9"/>
  <c r="N206" i="9" s="1"/>
  <c r="M272" i="9"/>
  <c r="N272" i="9" s="1"/>
  <c r="M101" i="9"/>
  <c r="N101" i="9" s="1"/>
  <c r="M252" i="9"/>
  <c r="N252" i="9" s="1"/>
  <c r="M52" i="9"/>
  <c r="N52" i="9" s="1"/>
  <c r="M48" i="9"/>
  <c r="N48" i="9" s="1"/>
  <c r="M243" i="9"/>
  <c r="N243" i="9" s="1"/>
  <c r="M131" i="9"/>
  <c r="N131" i="9" s="1"/>
  <c r="M269" i="9"/>
  <c r="N269" i="9" s="1"/>
  <c r="M194" i="9"/>
  <c r="N194" i="9" s="1"/>
  <c r="M98" i="9"/>
  <c r="N98" i="9" s="1"/>
  <c r="M271" i="9"/>
  <c r="N271" i="9" s="1"/>
  <c r="M249" i="9"/>
  <c r="N249" i="9" s="1"/>
  <c r="M121" i="9"/>
  <c r="N121" i="9" s="1"/>
  <c r="M56" i="9"/>
  <c r="N56" i="9" s="1"/>
  <c r="M119" i="9"/>
  <c r="N119" i="9" s="1"/>
  <c r="M296" i="9"/>
  <c r="N296" i="9" s="1"/>
  <c r="M198" i="9"/>
  <c r="N198" i="9" s="1"/>
  <c r="M86" i="9"/>
  <c r="N86" i="9" s="1"/>
  <c r="M32" i="9"/>
  <c r="N32" i="9" s="1"/>
  <c r="M197" i="9"/>
  <c r="N197" i="9" s="1"/>
  <c r="M85" i="9"/>
  <c r="N85" i="9" s="1"/>
  <c r="M160" i="9"/>
  <c r="N160" i="9" s="1"/>
  <c r="M244" i="9"/>
  <c r="N244" i="9" s="1"/>
  <c r="M140" i="9"/>
  <c r="N140" i="9" s="1"/>
  <c r="M44" i="9"/>
  <c r="N44" i="9" s="1"/>
  <c r="M215" i="9"/>
  <c r="N215" i="9" s="1"/>
  <c r="M235" i="9"/>
  <c r="N235" i="9" s="1"/>
  <c r="M123" i="9"/>
  <c r="N123" i="9" s="1"/>
  <c r="M19" i="9"/>
  <c r="N19" i="9" s="1"/>
  <c r="M298" i="9"/>
  <c r="N298" i="9" s="1"/>
  <c r="M178" i="9"/>
  <c r="N178" i="9" s="1"/>
  <c r="M66" i="9"/>
  <c r="N66" i="9" s="1"/>
  <c r="M301" i="9"/>
  <c r="N301" i="9" s="1"/>
  <c r="M217" i="9"/>
  <c r="N217" i="9" s="1"/>
  <c r="M89" i="9"/>
  <c r="N89" i="9" s="1"/>
  <c r="M185" i="9"/>
  <c r="N185" i="9" s="1"/>
  <c r="M104" i="9"/>
  <c r="N104" i="9" s="1"/>
  <c r="M23" i="9"/>
  <c r="N23" i="9" s="1"/>
  <c r="M94" i="9"/>
  <c r="N94" i="9" s="1"/>
  <c r="M205" i="9"/>
  <c r="N205" i="9" s="1"/>
  <c r="M264" i="9"/>
  <c r="N264" i="9" s="1"/>
  <c r="M164" i="9"/>
  <c r="N164" i="9" s="1"/>
  <c r="M43" i="9"/>
  <c r="N43" i="9" s="1"/>
  <c r="M231" i="9"/>
  <c r="N231" i="9" s="1"/>
  <c r="M111" i="9"/>
  <c r="N111" i="9" s="1"/>
  <c r="M232" i="9"/>
  <c r="N232" i="9" s="1"/>
  <c r="M174" i="9"/>
  <c r="N174" i="9" s="1"/>
  <c r="M78" i="9"/>
  <c r="N78" i="9" s="1"/>
  <c r="M207" i="9"/>
  <c r="N207" i="9" s="1"/>
  <c r="M189" i="9"/>
  <c r="N189" i="9" s="1"/>
  <c r="M77" i="9"/>
  <c r="N77" i="9" s="1"/>
  <c r="M239" i="9"/>
  <c r="N239" i="9" s="1"/>
  <c r="M236" i="9"/>
  <c r="N236" i="9" s="1"/>
  <c r="M124" i="9"/>
  <c r="N124" i="9" s="1"/>
  <c r="M36" i="9"/>
  <c r="N36" i="9" s="1"/>
  <c r="M238" i="9"/>
  <c r="N238" i="9" s="1"/>
  <c r="M211" i="9"/>
  <c r="N211" i="9" s="1"/>
  <c r="M115" i="9"/>
  <c r="N115" i="9" s="1"/>
  <c r="M248" i="9"/>
  <c r="N248" i="9" s="1"/>
  <c r="M282" i="9"/>
  <c r="N282" i="9" s="1"/>
  <c r="M170" i="9"/>
  <c r="N170" i="9" s="1"/>
  <c r="M50" i="9"/>
  <c r="N50" i="9" s="1"/>
  <c r="M299" i="9"/>
  <c r="N299" i="9" s="1"/>
  <c r="M201" i="9"/>
  <c r="N201" i="9" s="1"/>
  <c r="M73" i="9"/>
  <c r="N73" i="9" s="1"/>
  <c r="M191" i="9"/>
  <c r="N191" i="9" s="1"/>
  <c r="M87" i="9"/>
  <c r="N87" i="9" s="1"/>
  <c r="M184" i="9"/>
  <c r="N184" i="9" s="1"/>
  <c r="M158" i="9"/>
  <c r="N158" i="9" s="1"/>
  <c r="M70" i="9"/>
  <c r="N70" i="9" s="1"/>
  <c r="M286" i="9"/>
  <c r="N286" i="9" s="1"/>
  <c r="M165" i="9"/>
  <c r="N165" i="9" s="1"/>
  <c r="M69" i="9"/>
  <c r="N69" i="9" s="1"/>
  <c r="M246" i="9"/>
  <c r="N246" i="9" s="1"/>
  <c r="M228" i="9"/>
  <c r="N228" i="9" s="1"/>
  <c r="M116" i="9"/>
  <c r="N116" i="9" s="1"/>
  <c r="M12" i="9"/>
  <c r="N12" i="9" s="1"/>
  <c r="M285" i="9"/>
  <c r="N285" i="9" s="1"/>
  <c r="M195" i="9"/>
  <c r="N195" i="9" s="1"/>
  <c r="M107" i="9"/>
  <c r="N107" i="9" s="1"/>
  <c r="M192" i="9"/>
  <c r="N192" i="9" s="1"/>
  <c r="M258" i="9"/>
  <c r="N258" i="9" s="1"/>
  <c r="M162" i="9"/>
  <c r="N162" i="9" s="1"/>
  <c r="M42" i="9"/>
  <c r="N42" i="9" s="1"/>
  <c r="M306" i="9"/>
  <c r="N306" i="9" s="1"/>
  <c r="M193" i="9"/>
  <c r="N193" i="9" s="1"/>
  <c r="M65" i="9"/>
  <c r="N65" i="9" s="1"/>
  <c r="M57" i="9"/>
  <c r="N57" i="9" s="1"/>
  <c r="M90" i="9"/>
  <c r="N90" i="9" s="1"/>
  <c r="M199" i="9"/>
  <c r="N199" i="9" s="1"/>
  <c r="M241" i="9"/>
  <c r="N241" i="9" s="1"/>
  <c r="M49" i="9"/>
  <c r="N49" i="9" s="1"/>
  <c r="M88" i="9"/>
  <c r="N88" i="9" s="1"/>
  <c r="M167" i="9"/>
  <c r="N167" i="9" s="1"/>
  <c r="M103" i="9"/>
  <c r="N103" i="9" s="1"/>
  <c r="M39" i="9"/>
  <c r="N39" i="9" s="1"/>
  <c r="M40" i="9"/>
  <c r="N40" i="9" s="1"/>
  <c r="M190" i="9"/>
  <c r="N190" i="9" s="1"/>
  <c r="M126" i="9"/>
  <c r="N126" i="9" s="1"/>
  <c r="M62" i="9"/>
  <c r="N62" i="9" s="1"/>
  <c r="M216" i="9"/>
  <c r="N216" i="9" s="1"/>
  <c r="M245" i="9"/>
  <c r="N245" i="9" s="1"/>
  <c r="M181" i="9"/>
  <c r="N181" i="9" s="1"/>
  <c r="M117" i="9"/>
  <c r="N117" i="9" s="1"/>
  <c r="M53" i="9"/>
  <c r="N53" i="9" s="1"/>
  <c r="M16" i="9"/>
  <c r="N16" i="9" s="1"/>
  <c r="M284" i="9"/>
  <c r="N284" i="9" s="1"/>
  <c r="M220" i="9"/>
  <c r="N220" i="9" s="1"/>
  <c r="M156" i="9"/>
  <c r="N156" i="9" s="1"/>
  <c r="M92" i="9"/>
  <c r="N92" i="9" s="1"/>
  <c r="M28" i="9"/>
  <c r="N28" i="9" s="1"/>
  <c r="M96" i="9"/>
  <c r="N96" i="9" s="1"/>
  <c r="M291" i="9"/>
  <c r="N291" i="9" s="1"/>
  <c r="M227" i="9"/>
  <c r="N227" i="9" s="1"/>
  <c r="M163" i="9"/>
  <c r="N163" i="9" s="1"/>
  <c r="M99" i="9"/>
  <c r="N99" i="9" s="1"/>
  <c r="M35" i="9"/>
  <c r="N35" i="9" s="1"/>
  <c r="M303" i="9"/>
  <c r="N303" i="9" s="1"/>
  <c r="M274" i="9"/>
  <c r="N274" i="9" s="1"/>
  <c r="M210" i="9"/>
  <c r="N210" i="9" s="1"/>
  <c r="M146" i="9"/>
  <c r="N146" i="9" s="1"/>
  <c r="M82" i="9"/>
  <c r="N82" i="9" s="1"/>
  <c r="M18" i="9"/>
  <c r="N18" i="9" s="1"/>
  <c r="M294" i="9"/>
  <c r="N294" i="9" s="1"/>
  <c r="M297" i="9"/>
  <c r="N297" i="9" s="1"/>
  <c r="M233" i="9"/>
  <c r="N233" i="9" s="1"/>
  <c r="M169" i="9"/>
  <c r="N169" i="9" s="1"/>
  <c r="M105" i="9"/>
  <c r="N105" i="9" s="1"/>
  <c r="M41" i="9"/>
  <c r="N41" i="9" s="1"/>
  <c r="M26" i="9"/>
  <c r="N26" i="9" s="1"/>
  <c r="M305" i="9"/>
  <c r="N305" i="9" s="1"/>
  <c r="M177" i="9"/>
  <c r="N177" i="9" s="1"/>
  <c r="M113" i="9"/>
  <c r="N113" i="9" s="1"/>
  <c r="M72" i="9"/>
  <c r="N72" i="9" s="1"/>
  <c r="M159" i="9"/>
  <c r="N159" i="9" s="1"/>
  <c r="M95" i="9"/>
  <c r="N95" i="9" s="1"/>
  <c r="M31" i="9"/>
  <c r="N31" i="9" s="1"/>
  <c r="M295" i="9"/>
  <c r="N295" i="9" s="1"/>
  <c r="M182" i="9"/>
  <c r="N182" i="9" s="1"/>
  <c r="M118" i="9"/>
  <c r="N118" i="9" s="1"/>
  <c r="M54" i="9"/>
  <c r="N54" i="9" s="1"/>
  <c r="M144" i="9"/>
  <c r="N144" i="9" s="1"/>
  <c r="M237" i="9"/>
  <c r="N237" i="9" s="1"/>
  <c r="M173" i="9"/>
  <c r="N173" i="9" s="1"/>
  <c r="M109" i="9"/>
  <c r="N109" i="9" s="1"/>
  <c r="M45" i="9"/>
  <c r="N45" i="9" s="1"/>
  <c r="M287" i="9"/>
  <c r="N287" i="9" s="1"/>
  <c r="M276" i="9"/>
  <c r="N276" i="9" s="1"/>
  <c r="M212" i="9"/>
  <c r="N212" i="9" s="1"/>
  <c r="M148" i="9"/>
  <c r="N148" i="9" s="1"/>
  <c r="M84" i="9"/>
  <c r="N84" i="9" s="1"/>
  <c r="M20" i="9"/>
  <c r="N20" i="9" s="1"/>
  <c r="M80" i="9"/>
  <c r="N80" i="9" s="1"/>
  <c r="M283" i="9"/>
  <c r="N283" i="9" s="1"/>
  <c r="M219" i="9"/>
  <c r="N219" i="9" s="1"/>
  <c r="M155" i="9"/>
  <c r="N155" i="9" s="1"/>
  <c r="M91" i="9"/>
  <c r="N91" i="9" s="1"/>
  <c r="M27" i="9"/>
  <c r="N27" i="9" s="1"/>
  <c r="M247" i="9"/>
  <c r="N247" i="9" s="1"/>
  <c r="M266" i="9"/>
  <c r="N266" i="9" s="1"/>
  <c r="M202" i="9"/>
  <c r="N202" i="9" s="1"/>
  <c r="M138" i="9"/>
  <c r="N138" i="9" s="1"/>
  <c r="M74" i="9"/>
  <c r="N74" i="9" s="1"/>
  <c r="M10" i="9"/>
  <c r="N10" i="9" s="1"/>
  <c r="M278" i="9"/>
  <c r="N278" i="9" s="1"/>
  <c r="M289" i="9"/>
  <c r="N289" i="9" s="1"/>
  <c r="M225" i="9"/>
  <c r="N225" i="9" s="1"/>
  <c r="M161" i="9"/>
  <c r="N161" i="9" s="1"/>
  <c r="M97" i="9"/>
  <c r="N97" i="9" s="1"/>
  <c r="M33" i="9"/>
  <c r="N33" i="9" s="1"/>
  <c r="M25" i="9"/>
  <c r="N25" i="9" s="1"/>
  <c r="M256" i="9"/>
  <c r="N256" i="9" s="1"/>
  <c r="M279" i="9"/>
  <c r="N279" i="9" s="1"/>
  <c r="M143" i="9"/>
  <c r="N143" i="9" s="1"/>
  <c r="M79" i="9"/>
  <c r="N79" i="9" s="1"/>
  <c r="M15" i="9"/>
  <c r="N15" i="9" s="1"/>
  <c r="M230" i="9"/>
  <c r="N230" i="9" s="1"/>
  <c r="M166" i="9"/>
  <c r="N166" i="9" s="1"/>
  <c r="M102" i="9"/>
  <c r="N102" i="9" s="1"/>
  <c r="M38" i="9"/>
  <c r="N38" i="9" s="1"/>
  <c r="M263" i="9"/>
  <c r="N263" i="9" s="1"/>
  <c r="M221" i="9"/>
  <c r="N221" i="9" s="1"/>
  <c r="M157" i="9"/>
  <c r="N157" i="9" s="1"/>
  <c r="M93" i="9"/>
  <c r="N93" i="9" s="1"/>
  <c r="M29" i="9"/>
  <c r="N29" i="9" s="1"/>
  <c r="M302" i="9"/>
  <c r="N302" i="9" s="1"/>
  <c r="M260" i="9"/>
  <c r="N260" i="9" s="1"/>
  <c r="M196" i="9"/>
  <c r="N196" i="9" s="1"/>
  <c r="M132" i="9"/>
  <c r="N132" i="9" s="1"/>
  <c r="M68" i="9"/>
  <c r="N68" i="9" s="1"/>
  <c r="M288" i="9"/>
  <c r="N288" i="9" s="1"/>
  <c r="M255" i="9"/>
  <c r="N255" i="9" s="1"/>
  <c r="M267" i="9"/>
  <c r="N267" i="9" s="1"/>
  <c r="M203" i="9"/>
  <c r="N203" i="9" s="1"/>
  <c r="M139" i="9"/>
  <c r="N139" i="9" s="1"/>
  <c r="M75" i="9"/>
  <c r="N75" i="9" s="1"/>
  <c r="M11" i="9"/>
  <c r="N11" i="9" s="1"/>
  <c r="M254" i="9"/>
  <c r="N254" i="9" s="1"/>
  <c r="M250" i="9"/>
  <c r="N250" i="9" s="1"/>
  <c r="M186" i="9"/>
  <c r="N186" i="9" s="1"/>
  <c r="M122" i="9"/>
  <c r="N122" i="9" s="1"/>
  <c r="M58" i="9"/>
  <c r="N58" i="9" s="1"/>
  <c r="M224" i="9"/>
  <c r="N224" i="9" s="1"/>
  <c r="M261" i="9"/>
  <c r="N261" i="9" s="1"/>
  <c r="M273" i="9"/>
  <c r="N273" i="9" s="1"/>
  <c r="M209" i="9"/>
  <c r="N209" i="9" s="1"/>
  <c r="M145" i="9"/>
  <c r="N145" i="9" s="1"/>
  <c r="M81" i="9"/>
  <c r="N81" i="9" s="1"/>
  <c r="M17" i="9"/>
  <c r="N17" i="9" s="1"/>
  <c r="M9" i="9"/>
  <c r="N9" i="9" s="1"/>
  <c r="S6" i="3"/>
  <c r="L3" i="3"/>
  <c r="G6" i="3"/>
  <c r="N253" i="9" l="1"/>
  <c r="N2" i="9" s="1"/>
  <c r="N15" i="45"/>
  <c r="N19" i="45" s="1"/>
  <c r="I19" i="45" s="1"/>
  <c r="M308" i="9"/>
  <c r="N308" i="2"/>
  <c r="Q6" i="29" l="1"/>
  <c r="U30" i="45"/>
  <c r="R6" i="29"/>
  <c r="T8" i="45" l="1"/>
  <c r="T9" i="45"/>
  <c r="T10" i="45"/>
  <c r="T11" i="45"/>
  <c r="T12" i="45"/>
  <c r="T7" i="45"/>
  <c r="V9" i="2" l="1"/>
  <c r="V8" i="2"/>
  <c r="F308" i="2"/>
  <c r="S6" i="29"/>
  <c r="P37" i="45" l="1"/>
  <c r="H8" i="55" l="1"/>
  <c r="K308" i="2"/>
  <c r="L308" i="2"/>
  <c r="R303" i="3" l="1"/>
  <c r="R293" i="3"/>
  <c r="R283" i="3"/>
  <c r="R271" i="3"/>
  <c r="R261" i="3"/>
  <c r="R249" i="3"/>
  <c r="R237" i="3"/>
  <c r="R229" i="3"/>
  <c r="R219" i="3"/>
  <c r="R207" i="3"/>
  <c r="R197" i="3"/>
  <c r="R187" i="3"/>
  <c r="R177" i="3"/>
  <c r="R167" i="3"/>
  <c r="R155" i="3"/>
  <c r="R145" i="3"/>
  <c r="R139" i="3"/>
  <c r="R133" i="3"/>
  <c r="R131" i="3"/>
  <c r="R125" i="3"/>
  <c r="R121" i="3"/>
  <c r="R117" i="3"/>
  <c r="R115" i="3"/>
  <c r="R113" i="3"/>
  <c r="R111" i="3"/>
  <c r="R109" i="3"/>
  <c r="R107" i="3"/>
  <c r="R105" i="3"/>
  <c r="R103" i="3"/>
  <c r="R101" i="3"/>
  <c r="R99" i="3"/>
  <c r="R97" i="3"/>
  <c r="R95" i="3"/>
  <c r="R93" i="3"/>
  <c r="R91" i="3"/>
  <c r="R89" i="3"/>
  <c r="R87" i="3"/>
  <c r="R85" i="3"/>
  <c r="R83" i="3"/>
  <c r="R81" i="3"/>
  <c r="R79" i="3"/>
  <c r="R77" i="3"/>
  <c r="R75" i="3"/>
  <c r="R73" i="3"/>
  <c r="R71" i="3"/>
  <c r="R69" i="3"/>
  <c r="R67" i="3"/>
  <c r="R65" i="3"/>
  <c r="R63" i="3"/>
  <c r="R61" i="3"/>
  <c r="R59" i="3"/>
  <c r="R57" i="3"/>
  <c r="R55" i="3"/>
  <c r="R53" i="3"/>
  <c r="R51" i="3"/>
  <c r="R49" i="3"/>
  <c r="R47" i="3"/>
  <c r="R45" i="3"/>
  <c r="R43" i="3"/>
  <c r="R41" i="3"/>
  <c r="R39" i="3"/>
  <c r="R37" i="3"/>
  <c r="R35" i="3"/>
  <c r="R33" i="3"/>
  <c r="R31" i="3"/>
  <c r="R29" i="3"/>
  <c r="R27" i="3"/>
  <c r="R25" i="3"/>
  <c r="R23" i="3"/>
  <c r="R21" i="3"/>
  <c r="R19" i="3"/>
  <c r="R17" i="3"/>
  <c r="R15" i="3"/>
  <c r="R13" i="3"/>
  <c r="R11" i="3"/>
  <c r="R9" i="3"/>
  <c r="R299" i="3"/>
  <c r="R285" i="3"/>
  <c r="R275" i="3"/>
  <c r="R265" i="3"/>
  <c r="R255" i="3"/>
  <c r="R245" i="3"/>
  <c r="R235" i="3"/>
  <c r="R225" i="3"/>
  <c r="R215" i="3"/>
  <c r="R209" i="3"/>
  <c r="R201" i="3"/>
  <c r="R191" i="3"/>
  <c r="R181" i="3"/>
  <c r="R171" i="3"/>
  <c r="R161" i="3"/>
  <c r="R151" i="3"/>
  <c r="R141" i="3"/>
  <c r="R123" i="3"/>
  <c r="R301" i="3"/>
  <c r="R291" i="3"/>
  <c r="R281" i="3"/>
  <c r="R273" i="3"/>
  <c r="R263" i="3"/>
  <c r="R253" i="3"/>
  <c r="R243" i="3"/>
  <c r="R233" i="3"/>
  <c r="R223" i="3"/>
  <c r="R213" i="3"/>
  <c r="R203" i="3"/>
  <c r="R193" i="3"/>
  <c r="R185" i="3"/>
  <c r="R175" i="3"/>
  <c r="R165" i="3"/>
  <c r="R157" i="3"/>
  <c r="R147" i="3"/>
  <c r="R137" i="3"/>
  <c r="R119" i="3"/>
  <c r="R307" i="3"/>
  <c r="R297" i="3"/>
  <c r="R287" i="3"/>
  <c r="R277" i="3"/>
  <c r="R267" i="3"/>
  <c r="R257" i="3"/>
  <c r="R247" i="3"/>
  <c r="R239" i="3"/>
  <c r="R227" i="3"/>
  <c r="R217" i="3"/>
  <c r="R205" i="3"/>
  <c r="R195" i="3"/>
  <c r="R183" i="3"/>
  <c r="R173" i="3"/>
  <c r="R163" i="3"/>
  <c r="R153" i="3"/>
  <c r="R143" i="3"/>
  <c r="R135" i="3"/>
  <c r="R127" i="3"/>
  <c r="P308" i="3"/>
  <c r="R305" i="3"/>
  <c r="R295" i="3"/>
  <c r="R289" i="3"/>
  <c r="R279" i="3"/>
  <c r="R269" i="3"/>
  <c r="R259" i="3"/>
  <c r="R251" i="3"/>
  <c r="R241" i="3"/>
  <c r="R231" i="3"/>
  <c r="R221" i="3"/>
  <c r="R211" i="3"/>
  <c r="R199" i="3"/>
  <c r="R189" i="3"/>
  <c r="R179" i="3"/>
  <c r="R169" i="3"/>
  <c r="R159" i="3"/>
  <c r="R149" i="3"/>
  <c r="R129" i="3"/>
  <c r="R302" i="3"/>
  <c r="R294" i="3"/>
  <c r="R286" i="3"/>
  <c r="R278" i="3"/>
  <c r="R270" i="3"/>
  <c r="R262" i="3"/>
  <c r="R254" i="3"/>
  <c r="R246" i="3"/>
  <c r="R238" i="3"/>
  <c r="R230" i="3"/>
  <c r="R222" i="3"/>
  <c r="R214" i="3"/>
  <c r="R206" i="3"/>
  <c r="R198" i="3"/>
  <c r="R190" i="3"/>
  <c r="R182" i="3"/>
  <c r="R174" i="3"/>
  <c r="R166" i="3"/>
  <c r="R158" i="3"/>
  <c r="R150" i="3"/>
  <c r="R142" i="3"/>
  <c r="R134" i="3"/>
  <c r="R126" i="3"/>
  <c r="R118" i="3"/>
  <c r="R110" i="3"/>
  <c r="R102" i="3"/>
  <c r="R94" i="3"/>
  <c r="R86" i="3"/>
  <c r="R78" i="3"/>
  <c r="R70" i="3"/>
  <c r="R62" i="3"/>
  <c r="R54" i="3"/>
  <c r="R46" i="3"/>
  <c r="O308" i="3"/>
  <c r="R38" i="3"/>
  <c r="R30" i="3"/>
  <c r="R22" i="3"/>
  <c r="R14" i="3"/>
  <c r="R304" i="3"/>
  <c r="R296" i="3"/>
  <c r="R288" i="3"/>
  <c r="R280" i="3"/>
  <c r="R272" i="3"/>
  <c r="R264" i="3"/>
  <c r="R256" i="3"/>
  <c r="R250" i="3"/>
  <c r="R242" i="3"/>
  <c r="R234" i="3"/>
  <c r="R226" i="3"/>
  <c r="R220" i="3"/>
  <c r="R212" i="3"/>
  <c r="R204" i="3"/>
  <c r="R196" i="3"/>
  <c r="R188" i="3"/>
  <c r="R186" i="3"/>
  <c r="R176" i="3"/>
  <c r="R170" i="3"/>
  <c r="R160" i="3"/>
  <c r="R154" i="3"/>
  <c r="R144" i="3"/>
  <c r="R138" i="3"/>
  <c r="R130" i="3"/>
  <c r="R122" i="3"/>
  <c r="R116" i="3"/>
  <c r="R104" i="3"/>
  <c r="R90" i="3"/>
  <c r="R300" i="3"/>
  <c r="R292" i="3"/>
  <c r="R284" i="3"/>
  <c r="R274" i="3"/>
  <c r="R266" i="3"/>
  <c r="R258" i="3"/>
  <c r="R248" i="3"/>
  <c r="R240" i="3"/>
  <c r="R232" i="3"/>
  <c r="R218" i="3"/>
  <c r="R210" i="3"/>
  <c r="R202" i="3"/>
  <c r="R194" i="3"/>
  <c r="R180" i="3"/>
  <c r="R172" i="3"/>
  <c r="R164" i="3"/>
  <c r="R156" i="3"/>
  <c r="R148" i="3"/>
  <c r="R140" i="3"/>
  <c r="R132" i="3"/>
  <c r="R124" i="3"/>
  <c r="R114" i="3"/>
  <c r="R106" i="3"/>
  <c r="R98" i="3"/>
  <c r="R92" i="3"/>
  <c r="R84" i="3"/>
  <c r="R82" i="3"/>
  <c r="R80" i="3"/>
  <c r="R74" i="3"/>
  <c r="R72" i="3"/>
  <c r="R68" i="3"/>
  <c r="R66" i="3"/>
  <c r="R64" i="3"/>
  <c r="R60" i="3"/>
  <c r="R58" i="3"/>
  <c r="R56" i="3"/>
  <c r="R52" i="3"/>
  <c r="R50" i="3"/>
  <c r="R48" i="3"/>
  <c r="R44" i="3"/>
  <c r="R42" i="3"/>
  <c r="R40" i="3"/>
  <c r="R36" i="3"/>
  <c r="R34" i="3"/>
  <c r="R32" i="3"/>
  <c r="R28" i="3"/>
  <c r="R26" i="3"/>
  <c r="R24" i="3"/>
  <c r="R20" i="3"/>
  <c r="R18" i="3"/>
  <c r="R16" i="3"/>
  <c r="R12" i="3"/>
  <c r="R10" i="3"/>
  <c r="R306" i="3"/>
  <c r="R298" i="3"/>
  <c r="R290" i="3"/>
  <c r="R282" i="3"/>
  <c r="R276" i="3"/>
  <c r="R268" i="3"/>
  <c r="R260" i="3"/>
  <c r="R252" i="3"/>
  <c r="R244" i="3"/>
  <c r="R236" i="3"/>
  <c r="R228" i="3"/>
  <c r="R224" i="3"/>
  <c r="R216" i="3"/>
  <c r="R208" i="3"/>
  <c r="R200" i="3"/>
  <c r="R192" i="3"/>
  <c r="R184" i="3"/>
  <c r="R178" i="3"/>
  <c r="R168" i="3"/>
  <c r="R162" i="3"/>
  <c r="R152" i="3"/>
  <c r="R146" i="3"/>
  <c r="R136" i="3"/>
  <c r="R128" i="3"/>
  <c r="R120" i="3"/>
  <c r="R112" i="3"/>
  <c r="R108" i="3"/>
  <c r="R100" i="3"/>
  <c r="R96" i="3"/>
  <c r="R88" i="3"/>
  <c r="R76" i="3"/>
  <c r="N308" i="3"/>
  <c r="R308" i="2" l="1"/>
  <c r="Q308" i="2"/>
  <c r="M308" i="29" l="1"/>
  <c r="V10" i="2" l="1"/>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U276" i="2" l="1"/>
  <c r="U228" i="2"/>
  <c r="U204" i="2"/>
  <c r="U244" i="2"/>
  <c r="U140" i="2"/>
  <c r="U124" i="2"/>
  <c r="U76" i="2"/>
  <c r="U20" i="2"/>
  <c r="U300" i="2"/>
  <c r="U252" i="2"/>
  <c r="U148" i="2"/>
  <c r="U108" i="2"/>
  <c r="U52" i="2"/>
  <c r="U28" i="2"/>
  <c r="U292" i="2"/>
  <c r="U268" i="2"/>
  <c r="U260" i="2"/>
  <c r="U236" i="2"/>
  <c r="U220" i="2"/>
  <c r="U212" i="2"/>
  <c r="U188" i="2"/>
  <c r="U164" i="2"/>
  <c r="U116" i="2"/>
  <c r="U92" i="2"/>
  <c r="U84" i="2"/>
  <c r="U68" i="2"/>
  <c r="U172" i="2"/>
  <c r="U132" i="2"/>
  <c r="U60" i="2"/>
  <c r="U12" i="2"/>
  <c r="U284" i="2"/>
  <c r="U196" i="2"/>
  <c r="U180" i="2"/>
  <c r="U156" i="2"/>
  <c r="U100" i="2"/>
  <c r="U44" i="2"/>
  <c r="U36" i="2"/>
  <c r="U307" i="2"/>
  <c r="U299" i="2"/>
  <c r="U291" i="2"/>
  <c r="U283" i="2"/>
  <c r="U275" i="2"/>
  <c r="U267" i="2"/>
  <c r="U259" i="2"/>
  <c r="U251" i="2"/>
  <c r="U243" i="2"/>
  <c r="U235" i="2"/>
  <c r="U227" i="2"/>
  <c r="U219" i="2"/>
  <c r="U211" i="2"/>
  <c r="U203" i="2"/>
  <c r="U195" i="2"/>
  <c r="U187" i="2"/>
  <c r="U179" i="2"/>
  <c r="U171" i="2"/>
  <c r="U163" i="2"/>
  <c r="U155" i="2"/>
  <c r="U147" i="2"/>
  <c r="U139" i="2"/>
  <c r="U131" i="2"/>
  <c r="U123" i="2"/>
  <c r="U115" i="2"/>
  <c r="U107" i="2"/>
  <c r="U99" i="2"/>
  <c r="U91" i="2"/>
  <c r="U83" i="2"/>
  <c r="U75" i="2"/>
  <c r="U67" i="2"/>
  <c r="U59" i="2"/>
  <c r="U51" i="2"/>
  <c r="U43" i="2"/>
  <c r="U35" i="2"/>
  <c r="U27" i="2"/>
  <c r="U19" i="2"/>
  <c r="U11" i="2"/>
  <c r="U306" i="2"/>
  <c r="U298" i="2"/>
  <c r="U290" i="2"/>
  <c r="U282" i="2"/>
  <c r="U274" i="2"/>
  <c r="U266" i="2"/>
  <c r="U258" i="2"/>
  <c r="U250" i="2"/>
  <c r="U242" i="2"/>
  <c r="U234" i="2"/>
  <c r="U226" i="2"/>
  <c r="U218" i="2"/>
  <c r="U210" i="2"/>
  <c r="U202" i="2"/>
  <c r="U194" i="2"/>
  <c r="U186" i="2"/>
  <c r="U178" i="2"/>
  <c r="U170" i="2"/>
  <c r="U162" i="2"/>
  <c r="U154" i="2"/>
  <c r="U146" i="2"/>
  <c r="U138" i="2"/>
  <c r="U130" i="2"/>
  <c r="U122" i="2"/>
  <c r="U114" i="2"/>
  <c r="U106" i="2"/>
  <c r="U98" i="2"/>
  <c r="U90" i="2"/>
  <c r="U82" i="2"/>
  <c r="U74" i="2"/>
  <c r="U66" i="2"/>
  <c r="U58" i="2"/>
  <c r="U50" i="2"/>
  <c r="U42" i="2"/>
  <c r="U34" i="2"/>
  <c r="U26" i="2"/>
  <c r="U18" i="2"/>
  <c r="U10" i="2"/>
  <c r="U305" i="2"/>
  <c r="U297" i="2"/>
  <c r="U289" i="2"/>
  <c r="U281" i="2"/>
  <c r="U273" i="2"/>
  <c r="U265" i="2"/>
  <c r="U257" i="2"/>
  <c r="U249" i="2"/>
  <c r="U241" i="2"/>
  <c r="U233" i="2"/>
  <c r="U225" i="2"/>
  <c r="U217" i="2"/>
  <c r="U209" i="2"/>
  <c r="U201" i="2"/>
  <c r="U193" i="2"/>
  <c r="U185" i="2"/>
  <c r="U177" i="2"/>
  <c r="U169" i="2"/>
  <c r="U161" i="2"/>
  <c r="U153" i="2"/>
  <c r="U145" i="2"/>
  <c r="U137" i="2"/>
  <c r="U129" i="2"/>
  <c r="U121" i="2"/>
  <c r="U113" i="2"/>
  <c r="U105" i="2"/>
  <c r="U97" i="2"/>
  <c r="U89" i="2"/>
  <c r="U81" i="2"/>
  <c r="U73" i="2"/>
  <c r="U65" i="2"/>
  <c r="U57" i="2"/>
  <c r="U49" i="2"/>
  <c r="U41" i="2"/>
  <c r="U33" i="2"/>
  <c r="U25" i="2"/>
  <c r="U17" i="2"/>
  <c r="U9" i="2"/>
  <c r="U304" i="2"/>
  <c r="U296" i="2"/>
  <c r="U288" i="2"/>
  <c r="U280" i="2"/>
  <c r="U272" i="2"/>
  <c r="U264" i="2"/>
  <c r="U256" i="2"/>
  <c r="U248" i="2"/>
  <c r="U240" i="2"/>
  <c r="U232" i="2"/>
  <c r="U224" i="2"/>
  <c r="U216" i="2"/>
  <c r="U208" i="2"/>
  <c r="U200" i="2"/>
  <c r="U192" i="2"/>
  <c r="U184" i="2"/>
  <c r="U176" i="2"/>
  <c r="U168" i="2"/>
  <c r="U160" i="2"/>
  <c r="U152" i="2"/>
  <c r="U144" i="2"/>
  <c r="U136" i="2"/>
  <c r="U128" i="2"/>
  <c r="U120" i="2"/>
  <c r="U112" i="2"/>
  <c r="U104" i="2"/>
  <c r="U96" i="2"/>
  <c r="U88" i="2"/>
  <c r="U80" i="2"/>
  <c r="U72" i="2"/>
  <c r="U64" i="2"/>
  <c r="U56" i="2"/>
  <c r="U48" i="2"/>
  <c r="U40" i="2"/>
  <c r="U32" i="2"/>
  <c r="U24" i="2"/>
  <c r="U16" i="2"/>
  <c r="U303" i="2"/>
  <c r="U295" i="2"/>
  <c r="U287" i="2"/>
  <c r="U279" i="2"/>
  <c r="U271" i="2"/>
  <c r="U263" i="2"/>
  <c r="U255" i="2"/>
  <c r="U247" i="2"/>
  <c r="U239" i="2"/>
  <c r="U231" i="2"/>
  <c r="U223" i="2"/>
  <c r="U215" i="2"/>
  <c r="U207" i="2"/>
  <c r="U199" i="2"/>
  <c r="U191" i="2"/>
  <c r="U183" i="2"/>
  <c r="U175" i="2"/>
  <c r="U167" i="2"/>
  <c r="U159" i="2"/>
  <c r="U151" i="2"/>
  <c r="U143" i="2"/>
  <c r="U135" i="2"/>
  <c r="U127" i="2"/>
  <c r="U119" i="2"/>
  <c r="U111" i="2"/>
  <c r="U103" i="2"/>
  <c r="U95" i="2"/>
  <c r="U87" i="2"/>
  <c r="U79" i="2"/>
  <c r="U71" i="2"/>
  <c r="U63" i="2"/>
  <c r="U55" i="2"/>
  <c r="U47" i="2"/>
  <c r="U39" i="2"/>
  <c r="U31" i="2"/>
  <c r="U23" i="2"/>
  <c r="U15" i="2"/>
  <c r="U302" i="2"/>
  <c r="U294" i="2"/>
  <c r="U286" i="2"/>
  <c r="U278" i="2"/>
  <c r="U270" i="2"/>
  <c r="U262" i="2"/>
  <c r="U254" i="2"/>
  <c r="U246" i="2"/>
  <c r="U238" i="2"/>
  <c r="U230" i="2"/>
  <c r="U222" i="2"/>
  <c r="U214" i="2"/>
  <c r="U206" i="2"/>
  <c r="U198" i="2"/>
  <c r="U190" i="2"/>
  <c r="U182" i="2"/>
  <c r="U174" i="2"/>
  <c r="U166" i="2"/>
  <c r="U158" i="2"/>
  <c r="U150" i="2"/>
  <c r="U142" i="2"/>
  <c r="U134" i="2"/>
  <c r="U126" i="2"/>
  <c r="U118" i="2"/>
  <c r="U110" i="2"/>
  <c r="U102" i="2"/>
  <c r="U94" i="2"/>
  <c r="U86" i="2"/>
  <c r="U78" i="2"/>
  <c r="U70" i="2"/>
  <c r="U62" i="2"/>
  <c r="U54" i="2"/>
  <c r="U46" i="2"/>
  <c r="U38" i="2"/>
  <c r="U30" i="2"/>
  <c r="U22" i="2"/>
  <c r="U14" i="2"/>
  <c r="U301" i="2"/>
  <c r="U293" i="2"/>
  <c r="U285" i="2"/>
  <c r="U277" i="2"/>
  <c r="U269" i="2"/>
  <c r="U261" i="2"/>
  <c r="U253" i="2"/>
  <c r="U245" i="2"/>
  <c r="U237" i="2"/>
  <c r="U229" i="2"/>
  <c r="U221" i="2"/>
  <c r="U213" i="2"/>
  <c r="U205" i="2"/>
  <c r="U197" i="2"/>
  <c r="U189" i="2"/>
  <c r="U181" i="2"/>
  <c r="U173" i="2"/>
  <c r="U165" i="2"/>
  <c r="U157" i="2"/>
  <c r="U149" i="2"/>
  <c r="U141" i="2"/>
  <c r="U133" i="2"/>
  <c r="U125" i="2"/>
  <c r="U117" i="2"/>
  <c r="U109" i="2"/>
  <c r="U101" i="2"/>
  <c r="U93" i="2"/>
  <c r="U85" i="2"/>
  <c r="U77" i="2"/>
  <c r="U69" i="2"/>
  <c r="U61" i="2"/>
  <c r="U53" i="2"/>
  <c r="U45" i="2"/>
  <c r="U37" i="2"/>
  <c r="U29" i="2"/>
  <c r="U21" i="2"/>
  <c r="U13" i="2"/>
  <c r="U8" i="2"/>
  <c r="J12" i="21" l="1"/>
  <c r="O308" i="29"/>
  <c r="R8" i="29" s="1"/>
  <c r="E12" i="21"/>
  <c r="F12" i="21"/>
  <c r="D12" i="21"/>
  <c r="G12" i="21"/>
  <c r="I12" i="21"/>
  <c r="H12" i="21"/>
  <c r="I140" i="21"/>
  <c r="I30" i="21"/>
  <c r="I190" i="21"/>
  <c r="I254" i="21"/>
  <c r="I29" i="21"/>
  <c r="I93" i="21"/>
  <c r="I125" i="21"/>
  <c r="I157" i="21"/>
  <c r="I189" i="21"/>
  <c r="I253" i="21"/>
  <c r="I285" i="21"/>
  <c r="I23" i="21"/>
  <c r="I167" i="21"/>
  <c r="I17" i="21"/>
  <c r="I49" i="21"/>
  <c r="I81" i="21"/>
  <c r="I113" i="21"/>
  <c r="I145" i="21"/>
  <c r="I177" i="21"/>
  <c r="I209" i="21"/>
  <c r="I241" i="21"/>
  <c r="I273" i="21"/>
  <c r="I103" i="21"/>
  <c r="I279" i="21"/>
  <c r="I55" i="21"/>
  <c r="I95" i="21"/>
  <c r="I19" i="21"/>
  <c r="I51" i="21"/>
  <c r="I83" i="21"/>
  <c r="I115" i="21"/>
  <c r="I147" i="21"/>
  <c r="I179" i="21"/>
  <c r="I211" i="21"/>
  <c r="I243" i="21"/>
  <c r="I275" i="21"/>
  <c r="I307" i="21"/>
  <c r="I127" i="21"/>
  <c r="I255" i="21"/>
  <c r="I32" i="21"/>
  <c r="I64" i="21"/>
  <c r="I96" i="21"/>
  <c r="I128" i="21"/>
  <c r="I160" i="21"/>
  <c r="I192" i="21"/>
  <c r="I224" i="21"/>
  <c r="I256" i="21"/>
  <c r="I111" i="21"/>
  <c r="I119" i="21"/>
  <c r="I18" i="21"/>
  <c r="I50" i="21"/>
  <c r="I82" i="21"/>
  <c r="I114" i="21"/>
  <c r="I146" i="21"/>
  <c r="I178" i="21"/>
  <c r="I210" i="21"/>
  <c r="I242" i="21"/>
  <c r="I274" i="21"/>
  <c r="I306" i="21"/>
  <c r="I76" i="21"/>
  <c r="I204" i="21"/>
  <c r="I62" i="21"/>
  <c r="I222" i="21"/>
  <c r="I61" i="21"/>
  <c r="I221" i="21"/>
  <c r="I20" i="21"/>
  <c r="I52" i="21"/>
  <c r="I84" i="21"/>
  <c r="I116" i="21"/>
  <c r="I148" i="21"/>
  <c r="I180" i="21"/>
  <c r="I212" i="21"/>
  <c r="I244" i="21"/>
  <c r="I276" i="21"/>
  <c r="I8" i="21"/>
  <c r="H8" i="21"/>
  <c r="I38" i="21"/>
  <c r="I70" i="21"/>
  <c r="I102" i="21"/>
  <c r="I134" i="21"/>
  <c r="I166" i="21"/>
  <c r="I198" i="21"/>
  <c r="I230" i="21"/>
  <c r="I262" i="21"/>
  <c r="I294" i="21"/>
  <c r="I37" i="21"/>
  <c r="I69" i="21"/>
  <c r="I101" i="21"/>
  <c r="I133" i="21"/>
  <c r="I165" i="21"/>
  <c r="I197" i="21"/>
  <c r="I229" i="21"/>
  <c r="I261" i="21"/>
  <c r="I293" i="21"/>
  <c r="I126" i="21"/>
  <c r="I31" i="21"/>
  <c r="I199" i="21"/>
  <c r="I25" i="21"/>
  <c r="I57" i="21"/>
  <c r="I89" i="21"/>
  <c r="I121" i="21"/>
  <c r="I153" i="21"/>
  <c r="I185" i="21"/>
  <c r="I217" i="21"/>
  <c r="I249" i="21"/>
  <c r="I281" i="21"/>
  <c r="I215" i="21"/>
  <c r="I287" i="21"/>
  <c r="I71" i="21"/>
  <c r="I207" i="21"/>
  <c r="I27" i="21"/>
  <c r="I59" i="21"/>
  <c r="I91" i="21"/>
  <c r="I123" i="21"/>
  <c r="I155" i="21"/>
  <c r="I187" i="21"/>
  <c r="I219" i="21"/>
  <c r="I251" i="21"/>
  <c r="I283" i="21"/>
  <c r="I264" i="21"/>
  <c r="I159" i="21"/>
  <c r="I295" i="21"/>
  <c r="I40" i="21"/>
  <c r="I72" i="21"/>
  <c r="I104" i="21"/>
  <c r="I136" i="21"/>
  <c r="I168" i="21"/>
  <c r="I200" i="21"/>
  <c r="I232" i="21"/>
  <c r="I272" i="21"/>
  <c r="I151" i="21"/>
  <c r="I175" i="21"/>
  <c r="I26" i="21"/>
  <c r="I58" i="21"/>
  <c r="I90" i="21"/>
  <c r="I122" i="21"/>
  <c r="I154" i="21"/>
  <c r="I186" i="21"/>
  <c r="I218" i="21"/>
  <c r="I250" i="21"/>
  <c r="I282" i="21"/>
  <c r="I135" i="21"/>
  <c r="I44" i="21"/>
  <c r="I172" i="21"/>
  <c r="I28" i="21"/>
  <c r="I60" i="21"/>
  <c r="I92" i="21"/>
  <c r="I124" i="21"/>
  <c r="I156" i="21"/>
  <c r="I188" i="21"/>
  <c r="I220" i="21"/>
  <c r="I252" i="21"/>
  <c r="I284" i="21"/>
  <c r="I14" i="21"/>
  <c r="I46" i="21"/>
  <c r="I78" i="21"/>
  <c r="I110" i="21"/>
  <c r="I142" i="21"/>
  <c r="I174" i="21"/>
  <c r="I206" i="21"/>
  <c r="I238" i="21"/>
  <c r="I270" i="21"/>
  <c r="I302" i="21"/>
  <c r="I13" i="21"/>
  <c r="I45" i="21"/>
  <c r="I77" i="21"/>
  <c r="I109" i="21"/>
  <c r="I141" i="21"/>
  <c r="I173" i="21"/>
  <c r="I205" i="21"/>
  <c r="I237" i="21"/>
  <c r="I269" i="21"/>
  <c r="I301" i="21"/>
  <c r="I300" i="21"/>
  <c r="I158" i="21"/>
  <c r="I305" i="21"/>
  <c r="I63" i="21"/>
  <c r="I303" i="21"/>
  <c r="I33" i="21"/>
  <c r="I65" i="21"/>
  <c r="I97" i="21"/>
  <c r="I129" i="21"/>
  <c r="I161" i="21"/>
  <c r="I193" i="21"/>
  <c r="I225" i="21"/>
  <c r="I257" i="21"/>
  <c r="I289" i="21"/>
  <c r="I247" i="21"/>
  <c r="I79" i="21"/>
  <c r="I263" i="21"/>
  <c r="I35" i="21"/>
  <c r="I67" i="21"/>
  <c r="I99" i="21"/>
  <c r="I131" i="21"/>
  <c r="I163" i="21"/>
  <c r="I195" i="21"/>
  <c r="I227" i="21"/>
  <c r="I259" i="21"/>
  <c r="I291" i="21"/>
  <c r="I280" i="21"/>
  <c r="I183" i="21"/>
  <c r="I16" i="21"/>
  <c r="I48" i="21"/>
  <c r="I80" i="21"/>
  <c r="I112" i="21"/>
  <c r="I144" i="21"/>
  <c r="I176" i="21"/>
  <c r="I208" i="21"/>
  <c r="I240" i="21"/>
  <c r="I296" i="21"/>
  <c r="I231" i="21"/>
  <c r="I34" i="21"/>
  <c r="I66" i="21"/>
  <c r="I98" i="21"/>
  <c r="I130" i="21"/>
  <c r="I162" i="21"/>
  <c r="I194" i="21"/>
  <c r="I226" i="21"/>
  <c r="I258" i="21"/>
  <c r="I290" i="21"/>
  <c r="I191" i="21"/>
  <c r="I108" i="21"/>
  <c r="I236" i="21"/>
  <c r="I286" i="21"/>
  <c r="I36" i="21"/>
  <c r="I68" i="21"/>
  <c r="I100" i="21"/>
  <c r="I132" i="21"/>
  <c r="I164" i="21"/>
  <c r="I196" i="21"/>
  <c r="I228" i="21"/>
  <c r="I260" i="21"/>
  <c r="I292" i="21"/>
  <c r="I22" i="21"/>
  <c r="I54" i="21"/>
  <c r="I86" i="21"/>
  <c r="I118" i="21"/>
  <c r="I150" i="21"/>
  <c r="I182" i="21"/>
  <c r="I214" i="21"/>
  <c r="I246" i="21"/>
  <c r="I278" i="21"/>
  <c r="I21" i="21"/>
  <c r="I53" i="21"/>
  <c r="I85" i="21"/>
  <c r="I117" i="21"/>
  <c r="I149" i="21"/>
  <c r="I181" i="21"/>
  <c r="I213" i="21"/>
  <c r="I245" i="21"/>
  <c r="I277" i="21"/>
  <c r="I268" i="21"/>
  <c r="I94" i="21"/>
  <c r="I15" i="21"/>
  <c r="I143" i="21"/>
  <c r="I9" i="21"/>
  <c r="I41" i="21"/>
  <c r="I73" i="21"/>
  <c r="I105" i="21"/>
  <c r="I137" i="21"/>
  <c r="I169" i="21"/>
  <c r="I201" i="21"/>
  <c r="I233" i="21"/>
  <c r="I265" i="21"/>
  <c r="I297" i="21"/>
  <c r="I271" i="21"/>
  <c r="I47" i="21"/>
  <c r="I87" i="21"/>
  <c r="I11" i="21"/>
  <c r="I43" i="21"/>
  <c r="I75" i="21"/>
  <c r="I107" i="21"/>
  <c r="I139" i="21"/>
  <c r="I171" i="21"/>
  <c r="I203" i="21"/>
  <c r="I235" i="21"/>
  <c r="I267" i="21"/>
  <c r="I299" i="21"/>
  <c r="I288" i="21"/>
  <c r="I223" i="21"/>
  <c r="I24" i="21"/>
  <c r="I56" i="21"/>
  <c r="I88" i="21"/>
  <c r="I120" i="21"/>
  <c r="I152" i="21"/>
  <c r="I184" i="21"/>
  <c r="I216" i="21"/>
  <c r="I248" i="21"/>
  <c r="I304" i="21"/>
  <c r="I39" i="21"/>
  <c r="I10" i="21"/>
  <c r="I42" i="21"/>
  <c r="I74" i="21"/>
  <c r="I106" i="21"/>
  <c r="I138" i="21"/>
  <c r="I170" i="21"/>
  <c r="I202" i="21"/>
  <c r="I234" i="21"/>
  <c r="I266" i="21"/>
  <c r="I298" i="21"/>
  <c r="I239" i="21"/>
  <c r="F306" i="21"/>
  <c r="E306" i="21"/>
  <c r="D306" i="21"/>
  <c r="G306" i="21"/>
  <c r="C308" i="29"/>
  <c r="U31" i="45" s="1"/>
  <c r="S12" i="45" l="1"/>
  <c r="L12" i="21"/>
  <c r="Q8" i="29"/>
  <c r="P12" i="29"/>
  <c r="R12" i="29"/>
  <c r="R44" i="29"/>
  <c r="R76" i="29"/>
  <c r="R108" i="29"/>
  <c r="R140" i="29"/>
  <c r="R172" i="29"/>
  <c r="R204" i="29"/>
  <c r="R236" i="29"/>
  <c r="R268" i="29"/>
  <c r="R300" i="29"/>
  <c r="R29" i="29"/>
  <c r="R61" i="29"/>
  <c r="R93" i="29"/>
  <c r="R125" i="29"/>
  <c r="R157" i="29"/>
  <c r="R189" i="29"/>
  <c r="R221" i="29"/>
  <c r="R253" i="29"/>
  <c r="R285" i="29"/>
  <c r="R18" i="29"/>
  <c r="R50" i="29"/>
  <c r="R82" i="29"/>
  <c r="R114" i="29"/>
  <c r="R146" i="29"/>
  <c r="R178" i="29"/>
  <c r="R210" i="29"/>
  <c r="R242" i="29"/>
  <c r="R274" i="29"/>
  <c r="R306" i="29"/>
  <c r="R39" i="29"/>
  <c r="R71" i="29"/>
  <c r="R103" i="29"/>
  <c r="R135" i="29"/>
  <c r="R167" i="29"/>
  <c r="R199" i="29"/>
  <c r="R231" i="29"/>
  <c r="R263" i="29"/>
  <c r="R295" i="29"/>
  <c r="R136" i="29"/>
  <c r="R57" i="29"/>
  <c r="R281" i="29"/>
  <c r="R174" i="29"/>
  <c r="R99" i="29"/>
  <c r="R16" i="29"/>
  <c r="R48" i="29"/>
  <c r="R80" i="29"/>
  <c r="R112" i="29"/>
  <c r="R144" i="29"/>
  <c r="R176" i="29"/>
  <c r="R208" i="29"/>
  <c r="R240" i="29"/>
  <c r="R272" i="29"/>
  <c r="R304" i="29"/>
  <c r="R33" i="29"/>
  <c r="R65" i="29"/>
  <c r="R97" i="29"/>
  <c r="R129" i="29"/>
  <c r="R161" i="29"/>
  <c r="R193" i="29"/>
  <c r="R225" i="29"/>
  <c r="R257" i="29"/>
  <c r="R289" i="29"/>
  <c r="R22" i="29"/>
  <c r="R54" i="29"/>
  <c r="R86" i="29"/>
  <c r="R118" i="29"/>
  <c r="R150" i="29"/>
  <c r="R182" i="29"/>
  <c r="R214" i="29"/>
  <c r="R246" i="29"/>
  <c r="R278" i="29"/>
  <c r="R11" i="29"/>
  <c r="R43" i="29"/>
  <c r="R75" i="29"/>
  <c r="R107" i="29"/>
  <c r="R139" i="29"/>
  <c r="R171" i="29"/>
  <c r="R203" i="29"/>
  <c r="R235" i="29"/>
  <c r="R267" i="29"/>
  <c r="R299" i="29"/>
  <c r="R104" i="29"/>
  <c r="R89" i="29"/>
  <c r="R14" i="29"/>
  <c r="R238" i="29"/>
  <c r="R163" i="29"/>
  <c r="R20" i="29"/>
  <c r="R52" i="29"/>
  <c r="R84" i="29"/>
  <c r="R116" i="29"/>
  <c r="R148" i="29"/>
  <c r="R180" i="29"/>
  <c r="R212" i="29"/>
  <c r="R244" i="29"/>
  <c r="R276" i="29"/>
  <c r="R37" i="29"/>
  <c r="R69" i="29"/>
  <c r="R101" i="29"/>
  <c r="R133" i="29"/>
  <c r="R165" i="29"/>
  <c r="R197" i="29"/>
  <c r="R229" i="29"/>
  <c r="R261" i="29"/>
  <c r="R293" i="29"/>
  <c r="R26" i="29"/>
  <c r="R58" i="29"/>
  <c r="R90" i="29"/>
  <c r="R122" i="29"/>
  <c r="R154" i="29"/>
  <c r="R186" i="29"/>
  <c r="R218" i="29"/>
  <c r="R250" i="29"/>
  <c r="R282" i="29"/>
  <c r="R15" i="29"/>
  <c r="R47" i="29"/>
  <c r="R79" i="29"/>
  <c r="R111" i="29"/>
  <c r="R143" i="29"/>
  <c r="R175" i="29"/>
  <c r="R207" i="29"/>
  <c r="R239" i="29"/>
  <c r="R271" i="29"/>
  <c r="R303" i="29"/>
  <c r="R168" i="29"/>
  <c r="R25" i="29"/>
  <c r="R249" i="29"/>
  <c r="R142" i="29"/>
  <c r="R67" i="29"/>
  <c r="R291" i="29"/>
  <c r="R24" i="29"/>
  <c r="R56" i="29"/>
  <c r="R88" i="29"/>
  <c r="R120" i="29"/>
  <c r="R152" i="29"/>
  <c r="R184" i="29"/>
  <c r="R216" i="29"/>
  <c r="R248" i="29"/>
  <c r="R280" i="29"/>
  <c r="R9" i="29"/>
  <c r="R41" i="29"/>
  <c r="R73" i="29"/>
  <c r="R105" i="29"/>
  <c r="R137" i="29"/>
  <c r="R169" i="29"/>
  <c r="R201" i="29"/>
  <c r="R233" i="29"/>
  <c r="R265" i="29"/>
  <c r="R297" i="29"/>
  <c r="R30" i="29"/>
  <c r="R62" i="29"/>
  <c r="R94" i="29"/>
  <c r="R126" i="29"/>
  <c r="R158" i="29"/>
  <c r="R190" i="29"/>
  <c r="R222" i="29"/>
  <c r="R254" i="29"/>
  <c r="R286" i="29"/>
  <c r="R19" i="29"/>
  <c r="R51" i="29"/>
  <c r="R83" i="29"/>
  <c r="R115" i="29"/>
  <c r="R147" i="29"/>
  <c r="R179" i="29"/>
  <c r="R211" i="29"/>
  <c r="R243" i="29"/>
  <c r="R275" i="29"/>
  <c r="R307" i="29"/>
  <c r="R200" i="29"/>
  <c r="R264" i="29"/>
  <c r="R153" i="29"/>
  <c r="R78" i="29"/>
  <c r="R302" i="29"/>
  <c r="R227" i="29"/>
  <c r="R28" i="29"/>
  <c r="R60" i="29"/>
  <c r="R92" i="29"/>
  <c r="R124" i="29"/>
  <c r="R156" i="29"/>
  <c r="R188" i="29"/>
  <c r="R220" i="29"/>
  <c r="R252" i="29"/>
  <c r="R284" i="29"/>
  <c r="R13" i="29"/>
  <c r="R45" i="29"/>
  <c r="R77" i="29"/>
  <c r="R109" i="29"/>
  <c r="R141" i="29"/>
  <c r="R173" i="29"/>
  <c r="R205" i="29"/>
  <c r="R237" i="29"/>
  <c r="R269" i="29"/>
  <c r="R301" i="29"/>
  <c r="R34" i="29"/>
  <c r="R66" i="29"/>
  <c r="R98" i="29"/>
  <c r="R130" i="29"/>
  <c r="R162" i="29"/>
  <c r="R194" i="29"/>
  <c r="R226" i="29"/>
  <c r="R258" i="29"/>
  <c r="R290" i="29"/>
  <c r="R23" i="29"/>
  <c r="R55" i="29"/>
  <c r="R87" i="29"/>
  <c r="R119" i="29"/>
  <c r="R151" i="29"/>
  <c r="R183" i="29"/>
  <c r="R215" i="29"/>
  <c r="R247" i="29"/>
  <c r="R279" i="29"/>
  <c r="R40" i="29"/>
  <c r="R217" i="29"/>
  <c r="R206" i="29"/>
  <c r="R131" i="29"/>
  <c r="R32" i="29"/>
  <c r="R64" i="29"/>
  <c r="R96" i="29"/>
  <c r="R128" i="29"/>
  <c r="R160" i="29"/>
  <c r="R192" i="29"/>
  <c r="R224" i="29"/>
  <c r="R256" i="29"/>
  <c r="R288" i="29"/>
  <c r="R17" i="29"/>
  <c r="R49" i="29"/>
  <c r="R81" i="29"/>
  <c r="R113" i="29"/>
  <c r="R145" i="29"/>
  <c r="R177" i="29"/>
  <c r="R209" i="29"/>
  <c r="R241" i="29"/>
  <c r="R273" i="29"/>
  <c r="R305" i="29"/>
  <c r="R38" i="29"/>
  <c r="R70" i="29"/>
  <c r="R102" i="29"/>
  <c r="R134" i="29"/>
  <c r="R166" i="29"/>
  <c r="R198" i="29"/>
  <c r="R230" i="29"/>
  <c r="R262" i="29"/>
  <c r="R294" i="29"/>
  <c r="R27" i="29"/>
  <c r="R59" i="29"/>
  <c r="R91" i="29"/>
  <c r="R123" i="29"/>
  <c r="R155" i="29"/>
  <c r="R187" i="29"/>
  <c r="R219" i="29"/>
  <c r="R251" i="29"/>
  <c r="R283" i="29"/>
  <c r="R72" i="29"/>
  <c r="R121" i="29"/>
  <c r="R110" i="29"/>
  <c r="R35" i="29"/>
  <c r="R259" i="29"/>
  <c r="R36" i="29"/>
  <c r="R68" i="29"/>
  <c r="R100" i="29"/>
  <c r="R132" i="29"/>
  <c r="R164" i="29"/>
  <c r="R196" i="29"/>
  <c r="R228" i="29"/>
  <c r="R260" i="29"/>
  <c r="R292" i="29"/>
  <c r="R21" i="29"/>
  <c r="R53" i="29"/>
  <c r="R85" i="29"/>
  <c r="R117" i="29"/>
  <c r="R149" i="29"/>
  <c r="R181" i="29"/>
  <c r="R213" i="29"/>
  <c r="R245" i="29"/>
  <c r="R277" i="29"/>
  <c r="R10" i="29"/>
  <c r="R42" i="29"/>
  <c r="R74" i="29"/>
  <c r="R106" i="29"/>
  <c r="R138" i="29"/>
  <c r="R170" i="29"/>
  <c r="R202" i="29"/>
  <c r="R234" i="29"/>
  <c r="R266" i="29"/>
  <c r="R298" i="29"/>
  <c r="R31" i="29"/>
  <c r="R63" i="29"/>
  <c r="R95" i="29"/>
  <c r="R127" i="29"/>
  <c r="R159" i="29"/>
  <c r="R191" i="29"/>
  <c r="R223" i="29"/>
  <c r="R255" i="29"/>
  <c r="R287" i="29"/>
  <c r="R232" i="29"/>
  <c r="R296" i="29"/>
  <c r="R185" i="29"/>
  <c r="R46" i="29"/>
  <c r="R270" i="29"/>
  <c r="R195" i="29"/>
  <c r="Q17" i="29"/>
  <c r="Q81" i="29"/>
  <c r="Q145" i="29"/>
  <c r="Q209" i="29"/>
  <c r="Q273" i="29"/>
  <c r="Q34" i="29"/>
  <c r="Q122" i="29"/>
  <c r="Q75" i="29"/>
  <c r="Q28" i="29"/>
  <c r="Q92" i="29"/>
  <c r="Q156" i="29"/>
  <c r="Q220" i="29"/>
  <c r="Q284" i="29"/>
  <c r="Q178" i="29"/>
  <c r="Q251" i="29"/>
  <c r="Q61" i="29"/>
  <c r="Q125" i="29"/>
  <c r="Q189" i="29"/>
  <c r="Q253" i="29"/>
  <c r="Q238" i="29"/>
  <c r="Q234" i="29"/>
  <c r="Q283" i="29"/>
  <c r="Q70" i="29"/>
  <c r="Q134" i="29"/>
  <c r="Q198" i="29"/>
  <c r="Q256" i="29"/>
  <c r="Q19" i="29"/>
  <c r="Q31" i="29"/>
  <c r="Q95" i="29"/>
  <c r="Q159" i="29"/>
  <c r="Q223" i="29"/>
  <c r="Q295" i="29"/>
  <c r="Q35" i="29"/>
  <c r="Q16" i="29"/>
  <c r="Q80" i="29"/>
  <c r="Q144" i="29"/>
  <c r="Q208" i="29"/>
  <c r="Q171" i="29"/>
  <c r="Q25" i="29"/>
  <c r="Q89" i="29"/>
  <c r="Q153" i="29"/>
  <c r="Q217" i="29"/>
  <c r="Q281" i="29"/>
  <c r="Q42" i="29"/>
  <c r="Q138" i="29"/>
  <c r="Q115" i="29"/>
  <c r="Q36" i="29"/>
  <c r="Q100" i="29"/>
  <c r="Q164" i="29"/>
  <c r="Q228" i="29"/>
  <c r="Q292" i="29"/>
  <c r="Q218" i="29"/>
  <c r="Q299" i="29"/>
  <c r="Q69" i="29"/>
  <c r="Q133" i="29"/>
  <c r="Q197" i="29"/>
  <c r="Q261" i="29"/>
  <c r="Q254" i="29"/>
  <c r="Q274" i="29"/>
  <c r="Q14" i="29"/>
  <c r="Q78" i="29"/>
  <c r="Q142" i="29"/>
  <c r="Q206" i="29"/>
  <c r="Q296" i="29"/>
  <c r="Q83" i="29"/>
  <c r="Q39" i="29"/>
  <c r="Q103" i="29"/>
  <c r="Q167" i="29"/>
  <c r="Q231" i="29"/>
  <c r="Q264" i="29"/>
  <c r="Q59" i="29"/>
  <c r="Q24" i="29"/>
  <c r="Q88" i="29"/>
  <c r="Q152" i="29"/>
  <c r="Q216" i="29"/>
  <c r="Q219" i="29"/>
  <c r="Q201" i="29"/>
  <c r="Q181" i="29"/>
  <c r="Q190" i="29"/>
  <c r="Q87" i="29"/>
  <c r="Q72" i="29"/>
  <c r="Q33" i="29"/>
  <c r="Q97" i="29"/>
  <c r="Q161" i="29"/>
  <c r="Q225" i="29"/>
  <c r="Q289" i="29"/>
  <c r="Q50" i="29"/>
  <c r="Q146" i="29"/>
  <c r="Q155" i="29"/>
  <c r="Q44" i="29"/>
  <c r="Q108" i="29"/>
  <c r="Q172" i="29"/>
  <c r="Q236" i="29"/>
  <c r="Q300" i="29"/>
  <c r="Q266" i="29"/>
  <c r="Q13" i="29"/>
  <c r="Q77" i="29"/>
  <c r="Q141" i="29"/>
  <c r="Q205" i="29"/>
  <c r="Q269" i="29"/>
  <c r="Q270" i="29"/>
  <c r="Q43" i="29"/>
  <c r="Q22" i="29"/>
  <c r="Q86" i="29"/>
  <c r="Q150" i="29"/>
  <c r="Q222" i="29"/>
  <c r="Q106" i="29"/>
  <c r="Q139" i="29"/>
  <c r="Q47" i="29"/>
  <c r="Q111" i="29"/>
  <c r="Q175" i="29"/>
  <c r="Q239" i="29"/>
  <c r="Q304" i="29"/>
  <c r="Q99" i="29"/>
  <c r="Q32" i="29"/>
  <c r="Q96" i="29"/>
  <c r="Q160" i="29"/>
  <c r="Q224" i="29"/>
  <c r="Q275" i="29"/>
  <c r="Q114" i="29"/>
  <c r="Q104" i="29"/>
  <c r="Q232" i="29"/>
  <c r="Q49" i="29"/>
  <c r="Q113" i="29"/>
  <c r="Q177" i="29"/>
  <c r="Q241" i="29"/>
  <c r="Q66" i="29"/>
  <c r="Q202" i="29"/>
  <c r="Q235" i="29"/>
  <c r="Q60" i="29"/>
  <c r="Q124" i="29"/>
  <c r="Q188" i="29"/>
  <c r="Q252" i="29"/>
  <c r="Q287" i="29"/>
  <c r="Q11" i="29"/>
  <c r="Q29" i="29"/>
  <c r="Q157" i="29"/>
  <c r="Q221" i="29"/>
  <c r="Q285" i="29"/>
  <c r="Q107" i="29"/>
  <c r="Q38" i="29"/>
  <c r="Q166" i="29"/>
  <c r="Q186" i="29"/>
  <c r="Q63" i="29"/>
  <c r="Q127" i="29"/>
  <c r="Q255" i="29"/>
  <c r="Q163" i="29"/>
  <c r="Q112" i="29"/>
  <c r="Q240" i="29"/>
  <c r="Q15" i="29"/>
  <c r="Q143" i="29"/>
  <c r="Q258" i="29"/>
  <c r="Q64" i="29"/>
  <c r="Q192" i="29"/>
  <c r="Q9" i="29"/>
  <c r="Q26" i="29"/>
  <c r="Q27" i="29"/>
  <c r="Q148" i="29"/>
  <c r="Q276" i="29"/>
  <c r="Q53" i="29"/>
  <c r="Q214" i="29"/>
  <c r="Q243" i="29"/>
  <c r="Q294" i="29"/>
  <c r="Q151" i="29"/>
  <c r="Q306" i="29"/>
  <c r="Q200" i="29"/>
  <c r="Q41" i="29"/>
  <c r="Q105" i="29"/>
  <c r="Q169" i="29"/>
  <c r="Q233" i="29"/>
  <c r="Q297" i="29"/>
  <c r="Q58" i="29"/>
  <c r="Q162" i="29"/>
  <c r="Q203" i="29"/>
  <c r="Q52" i="29"/>
  <c r="Q116" i="29"/>
  <c r="Q180" i="29"/>
  <c r="Q244" i="29"/>
  <c r="Q298" i="29"/>
  <c r="Q21" i="29"/>
  <c r="Q85" i="29"/>
  <c r="Q149" i="29"/>
  <c r="Q213" i="29"/>
  <c r="Q277" i="29"/>
  <c r="Q286" i="29"/>
  <c r="Q67" i="29"/>
  <c r="Q30" i="29"/>
  <c r="Q94" i="29"/>
  <c r="Q158" i="29"/>
  <c r="Q230" i="29"/>
  <c r="Q154" i="29"/>
  <c r="Q187" i="29"/>
  <c r="Q55" i="29"/>
  <c r="Q119" i="29"/>
  <c r="Q183" i="29"/>
  <c r="Q247" i="29"/>
  <c r="Q123" i="29"/>
  <c r="Q40" i="29"/>
  <c r="Q168" i="29"/>
  <c r="Q305" i="29"/>
  <c r="Q93" i="29"/>
  <c r="Q302" i="29"/>
  <c r="Q102" i="29"/>
  <c r="Q246" i="29"/>
  <c r="Q227" i="29"/>
  <c r="Q191" i="29"/>
  <c r="Q170" i="29"/>
  <c r="Q48" i="29"/>
  <c r="Q176" i="29"/>
  <c r="Q271" i="29"/>
  <c r="Q137" i="29"/>
  <c r="Q84" i="29"/>
  <c r="Q195" i="29"/>
  <c r="Q245" i="29"/>
  <c r="Q62" i="29"/>
  <c r="Q23" i="29"/>
  <c r="Q279" i="29"/>
  <c r="Q136" i="29"/>
  <c r="Q57" i="29"/>
  <c r="Q121" i="29"/>
  <c r="Q185" i="29"/>
  <c r="Q249" i="29"/>
  <c r="Q10" i="29"/>
  <c r="Q74" i="29"/>
  <c r="Q242" i="29"/>
  <c r="Q267" i="29"/>
  <c r="Q68" i="29"/>
  <c r="Q132" i="29"/>
  <c r="Q196" i="29"/>
  <c r="Q260" i="29"/>
  <c r="Q272" i="29"/>
  <c r="Q91" i="29"/>
  <c r="Q37" i="29"/>
  <c r="Q101" i="29"/>
  <c r="Q165" i="29"/>
  <c r="Q229" i="29"/>
  <c r="Q293" i="29"/>
  <c r="Q303" i="29"/>
  <c r="Q131" i="29"/>
  <c r="Q46" i="29"/>
  <c r="Q110" i="29"/>
  <c r="Q174" i="29"/>
  <c r="Q262" i="29"/>
  <c r="Q226" i="29"/>
  <c r="Q291" i="29"/>
  <c r="Q71" i="29"/>
  <c r="Q135" i="29"/>
  <c r="Q199" i="29"/>
  <c r="Q263" i="29"/>
  <c r="Q210" i="29"/>
  <c r="Q211" i="29"/>
  <c r="Q56" i="29"/>
  <c r="Q120" i="29"/>
  <c r="Q184" i="29"/>
  <c r="Q248" i="29"/>
  <c r="Q65" i="29"/>
  <c r="Q129" i="29"/>
  <c r="Q193" i="29"/>
  <c r="Q257" i="29"/>
  <c r="Q18" i="29"/>
  <c r="Q82" i="29"/>
  <c r="Q282" i="29"/>
  <c r="Q12" i="29"/>
  <c r="Q76" i="29"/>
  <c r="Q140" i="29"/>
  <c r="Q204" i="29"/>
  <c r="Q268" i="29"/>
  <c r="Q288" i="29"/>
  <c r="Q147" i="29"/>
  <c r="Q45" i="29"/>
  <c r="Q109" i="29"/>
  <c r="Q173" i="29"/>
  <c r="Q237" i="29"/>
  <c r="Q301" i="29"/>
  <c r="Q130" i="29"/>
  <c r="Q179" i="29"/>
  <c r="Q54" i="29"/>
  <c r="Q118" i="29"/>
  <c r="Q182" i="29"/>
  <c r="Q278" i="29"/>
  <c r="Q250" i="29"/>
  <c r="Q79" i="29"/>
  <c r="Q207" i="29"/>
  <c r="Q259" i="29"/>
  <c r="Q128" i="29"/>
  <c r="Q280" i="29"/>
  <c r="Q73" i="29"/>
  <c r="Q265" i="29"/>
  <c r="Q90" i="29"/>
  <c r="Q20" i="29"/>
  <c r="Q212" i="29"/>
  <c r="Q98" i="29"/>
  <c r="Q117" i="29"/>
  <c r="Q194" i="29"/>
  <c r="Q126" i="29"/>
  <c r="Q290" i="29"/>
  <c r="Q215" i="29"/>
  <c r="Q307" i="29"/>
  <c r="Q51" i="29"/>
  <c r="I308" i="21"/>
  <c r="R308" i="29" l="1"/>
  <c r="R311" i="29" s="1"/>
  <c r="Q308" i="29"/>
  <c r="Q311" i="29" s="1"/>
  <c r="J8" i="21" l="1"/>
  <c r="G8" i="21"/>
  <c r="D8" i="21"/>
  <c r="F8" i="21"/>
  <c r="E8" i="21"/>
  <c r="J9" i="21"/>
  <c r="H9" i="21"/>
  <c r="F9" i="21"/>
  <c r="D9" i="21"/>
  <c r="G9" i="21"/>
  <c r="E9" i="21"/>
  <c r="F10" i="21"/>
  <c r="H10" i="21"/>
  <c r="G10" i="21"/>
  <c r="J10" i="21"/>
  <c r="D10" i="21"/>
  <c r="E10" i="21"/>
  <c r="H11" i="21"/>
  <c r="F11" i="21"/>
  <c r="E11" i="21"/>
  <c r="J11" i="21"/>
  <c r="D11" i="21"/>
  <c r="G11" i="21"/>
  <c r="L11" i="21" l="1"/>
  <c r="L8" i="21"/>
  <c r="L9" i="21"/>
  <c r="L10" i="21"/>
  <c r="P10" i="29"/>
  <c r="P11" i="29"/>
  <c r="F8" i="9" l="1"/>
  <c r="H9" i="55"/>
  <c r="H12" i="55"/>
  <c r="H11" i="55"/>
  <c r="H10" i="55"/>
  <c r="F11" i="9" l="1"/>
  <c r="F10" i="9"/>
  <c r="F9" i="9"/>
  <c r="F12" i="9"/>
  <c r="H59" i="55" l="1"/>
  <c r="H217" i="55"/>
  <c r="H20" i="55"/>
  <c r="H30" i="55"/>
  <c r="H38" i="55"/>
  <c r="G267" i="21"/>
  <c r="F61" i="21"/>
  <c r="H62" i="55"/>
  <c r="H78" i="55"/>
  <c r="H177" i="55"/>
  <c r="H241" i="55"/>
  <c r="H22" i="55"/>
  <c r="H18" i="55"/>
  <c r="H57" i="55"/>
  <c r="H94" i="55"/>
  <c r="H137" i="55"/>
  <c r="H28" i="55"/>
  <c r="H36" i="55"/>
  <c r="H31" i="55"/>
  <c r="H17" i="55"/>
  <c r="H88" i="55"/>
  <c r="H139" i="55"/>
  <c r="H275" i="55"/>
  <c r="H182" i="55"/>
  <c r="H124" i="55"/>
  <c r="H196" i="55"/>
  <c r="H220" i="55"/>
  <c r="H167" i="55"/>
  <c r="H263" i="55"/>
  <c r="H258" i="55"/>
  <c r="H306" i="55"/>
  <c r="H157" i="55"/>
  <c r="H277" i="55"/>
  <c r="F78" i="9" l="1"/>
  <c r="F94" i="9"/>
  <c r="F117" i="21"/>
  <c r="H265" i="55"/>
  <c r="H201" i="55"/>
  <c r="J27" i="21"/>
  <c r="H47" i="55"/>
  <c r="H271" i="55"/>
  <c r="H143" i="55"/>
  <c r="H85" i="55"/>
  <c r="H261" i="55"/>
  <c r="H197" i="55"/>
  <c r="H252" i="55"/>
  <c r="H188" i="55"/>
  <c r="H83" i="55"/>
  <c r="H171" i="55"/>
  <c r="H102" i="55"/>
  <c r="C308" i="2"/>
  <c r="H156" i="55"/>
  <c r="H293" i="55"/>
  <c r="H237" i="55"/>
  <c r="H173" i="55"/>
  <c r="H133" i="55"/>
  <c r="H106" i="55"/>
  <c r="H298" i="55"/>
  <c r="H210" i="55"/>
  <c r="H186" i="55"/>
  <c r="H146" i="55"/>
  <c r="H87" i="55"/>
  <c r="H108" i="55"/>
  <c r="H300" i="55"/>
  <c r="H140" i="55"/>
  <c r="H72" i="55"/>
  <c r="H74" i="55"/>
  <c r="H13" i="55"/>
  <c r="D63" i="21"/>
  <c r="G63" i="21"/>
  <c r="J63" i="21"/>
  <c r="H63" i="21"/>
  <c r="F63" i="21"/>
  <c r="E63" i="21"/>
  <c r="D47" i="21"/>
  <c r="G47" i="21"/>
  <c r="F47" i="21"/>
  <c r="E47" i="21"/>
  <c r="J47" i="21"/>
  <c r="H47" i="21"/>
  <c r="H109" i="55"/>
  <c r="H221" i="55"/>
  <c r="H282" i="55"/>
  <c r="H122" i="55"/>
  <c r="H296" i="55"/>
  <c r="H280" i="55"/>
  <c r="H264" i="55"/>
  <c r="H248" i="55"/>
  <c r="H232" i="55"/>
  <c r="H216" i="55"/>
  <c r="H200" i="55"/>
  <c r="H184" i="55"/>
  <c r="H168" i="55"/>
  <c r="H152" i="55"/>
  <c r="H136" i="55"/>
  <c r="H120" i="55"/>
  <c r="H101" i="55"/>
  <c r="H213" i="55"/>
  <c r="H82" i="55"/>
  <c r="H274" i="55"/>
  <c r="H234" i="55"/>
  <c r="H170" i="55"/>
  <c r="H79" i="55"/>
  <c r="H239" i="55"/>
  <c r="H175" i="55"/>
  <c r="H236" i="55"/>
  <c r="H172" i="55"/>
  <c r="H294" i="55"/>
  <c r="H230" i="55"/>
  <c r="H166" i="55"/>
  <c r="H253" i="55"/>
  <c r="H189" i="55"/>
  <c r="H149" i="55"/>
  <c r="H250" i="55"/>
  <c r="H194" i="55"/>
  <c r="H92" i="55"/>
  <c r="H243" i="55"/>
  <c r="H117" i="55"/>
  <c r="H229" i="55"/>
  <c r="H165" i="55"/>
  <c r="H125" i="55"/>
  <c r="H98" i="55"/>
  <c r="H290" i="55"/>
  <c r="H303" i="55"/>
  <c r="H113" i="55"/>
  <c r="H278" i="55"/>
  <c r="H214" i="55"/>
  <c r="H153" i="55"/>
  <c r="H19" i="55"/>
  <c r="H71" i="55"/>
  <c r="H147" i="55"/>
  <c r="H93" i="55"/>
  <c r="H301" i="55"/>
  <c r="H285" i="55"/>
  <c r="H269" i="55"/>
  <c r="H205" i="55"/>
  <c r="H266" i="55"/>
  <c r="H138" i="55"/>
  <c r="H111" i="55"/>
  <c r="H44" i="55"/>
  <c r="H90" i="55"/>
  <c r="H207" i="55"/>
  <c r="H304" i="55"/>
  <c r="H288" i="55"/>
  <c r="H272" i="55"/>
  <c r="H256" i="55"/>
  <c r="H240" i="55"/>
  <c r="H224" i="55"/>
  <c r="H208" i="55"/>
  <c r="H192" i="55"/>
  <c r="H176" i="55"/>
  <c r="H160" i="55"/>
  <c r="H144" i="55"/>
  <c r="H128" i="55"/>
  <c r="H245" i="55"/>
  <c r="H181" i="55"/>
  <c r="H141" i="55"/>
  <c r="H114" i="55"/>
  <c r="H242" i="55"/>
  <c r="H202" i="55"/>
  <c r="H178" i="55"/>
  <c r="H130" i="55"/>
  <c r="H103" i="55"/>
  <c r="H255" i="55"/>
  <c r="H191" i="55"/>
  <c r="H127" i="55"/>
  <c r="H67" i="55"/>
  <c r="H226" i="55"/>
  <c r="H162" i="55"/>
  <c r="H295" i="55"/>
  <c r="H231" i="55"/>
  <c r="H84" i="55"/>
  <c r="H292" i="55"/>
  <c r="H228" i="55"/>
  <c r="H164" i="55"/>
  <c r="H132" i="55"/>
  <c r="H105" i="55"/>
  <c r="H270" i="55"/>
  <c r="H206" i="55"/>
  <c r="H142" i="55"/>
  <c r="H211" i="55"/>
  <c r="H123" i="55"/>
  <c r="H104" i="55"/>
  <c r="H129" i="55"/>
  <c r="H48" i="55"/>
  <c r="H273" i="55"/>
  <c r="H50" i="55"/>
  <c r="H121" i="55"/>
  <c r="H110" i="55"/>
  <c r="H289" i="55"/>
  <c r="H161" i="55"/>
  <c r="H25" i="55"/>
  <c r="H268" i="55"/>
  <c r="H204" i="55"/>
  <c r="H81" i="55"/>
  <c r="H246" i="55"/>
  <c r="H118" i="55"/>
  <c r="E12" i="57" s="1"/>
  <c r="H99" i="55"/>
  <c r="H291" i="55"/>
  <c r="H259" i="55"/>
  <c r="H187" i="55"/>
  <c r="H24" i="55"/>
  <c r="H297" i="55"/>
  <c r="H169" i="55"/>
  <c r="H75" i="55"/>
  <c r="H26" i="55"/>
  <c r="H23" i="55"/>
  <c r="H60" i="55"/>
  <c r="H33" i="55"/>
  <c r="H54" i="55"/>
  <c r="D17" i="21"/>
  <c r="J17" i="21"/>
  <c r="F17" i="21"/>
  <c r="H17" i="21"/>
  <c r="G17" i="21"/>
  <c r="E17" i="21"/>
  <c r="D45" i="21"/>
  <c r="J45" i="21"/>
  <c r="G45" i="21"/>
  <c r="F45" i="21"/>
  <c r="E45" i="21"/>
  <c r="H45" i="21"/>
  <c r="H247" i="55"/>
  <c r="H183" i="55"/>
  <c r="H119" i="55"/>
  <c r="H100" i="55"/>
  <c r="H244" i="55"/>
  <c r="H180" i="55"/>
  <c r="H148" i="55"/>
  <c r="H286" i="55"/>
  <c r="H222" i="55"/>
  <c r="H158" i="55"/>
  <c r="H235" i="55"/>
  <c r="H163" i="55"/>
  <c r="H257" i="55"/>
  <c r="H64" i="55"/>
  <c r="H69" i="55"/>
  <c r="H53" i="55"/>
  <c r="H37" i="55"/>
  <c r="H35" i="55"/>
  <c r="H66" i="55"/>
  <c r="H249" i="55"/>
  <c r="H63" i="55"/>
  <c r="D72" i="21"/>
  <c r="J72" i="21"/>
  <c r="G72" i="21"/>
  <c r="F72" i="21"/>
  <c r="E72" i="21"/>
  <c r="D56" i="21"/>
  <c r="F56" i="21"/>
  <c r="G56" i="21"/>
  <c r="J56" i="21"/>
  <c r="E56" i="21"/>
  <c r="H56" i="21"/>
  <c r="D267" i="21"/>
  <c r="E267" i="21"/>
  <c r="J267" i="21"/>
  <c r="F267" i="21"/>
  <c r="H267" i="21"/>
  <c r="D139" i="21"/>
  <c r="F139" i="21"/>
  <c r="J139" i="21"/>
  <c r="E139" i="21"/>
  <c r="H139" i="21"/>
  <c r="H218" i="55"/>
  <c r="H154" i="55"/>
  <c r="H287" i="55"/>
  <c r="H223" i="55"/>
  <c r="H159" i="55"/>
  <c r="H284" i="55"/>
  <c r="H97" i="55"/>
  <c r="H262" i="55"/>
  <c r="H198" i="55"/>
  <c r="H134" i="55"/>
  <c r="H115" i="55"/>
  <c r="H307" i="55"/>
  <c r="H203" i="55"/>
  <c r="H96" i="55"/>
  <c r="H40" i="55"/>
  <c r="H209" i="55"/>
  <c r="H42" i="55"/>
  <c r="H51" i="55"/>
  <c r="H39" i="55"/>
  <c r="H76" i="55"/>
  <c r="H70" i="55"/>
  <c r="D61" i="21"/>
  <c r="G61" i="21"/>
  <c r="H61" i="21"/>
  <c r="E61" i="21"/>
  <c r="J61" i="21"/>
  <c r="H199" i="55"/>
  <c r="H135" i="55"/>
  <c r="H116" i="55"/>
  <c r="H260" i="55"/>
  <c r="H302" i="55"/>
  <c r="H238" i="55"/>
  <c r="H174" i="55"/>
  <c r="H91" i="55"/>
  <c r="H283" i="55"/>
  <c r="H251" i="55"/>
  <c r="H179" i="55"/>
  <c r="H155" i="55"/>
  <c r="H86" i="55"/>
  <c r="H80" i="55"/>
  <c r="H14" i="55"/>
  <c r="H43" i="55"/>
  <c r="H225" i="55"/>
  <c r="H52" i="55"/>
  <c r="H150" i="55"/>
  <c r="H227" i="55"/>
  <c r="H219" i="55"/>
  <c r="H131" i="55"/>
  <c r="H112" i="55"/>
  <c r="H193" i="55"/>
  <c r="H56" i="55"/>
  <c r="H233" i="55"/>
  <c r="H281" i="55"/>
  <c r="H58" i="55"/>
  <c r="H21" i="55"/>
  <c r="H185" i="55"/>
  <c r="H55" i="55"/>
  <c r="H73" i="55"/>
  <c r="G139" i="21"/>
  <c r="H95" i="55"/>
  <c r="H279" i="55"/>
  <c r="H215" i="55"/>
  <c r="H151" i="55"/>
  <c r="H276" i="55"/>
  <c r="H212" i="55"/>
  <c r="H89" i="55"/>
  <c r="H254" i="55"/>
  <c r="H190" i="55"/>
  <c r="H126" i="55"/>
  <c r="H107" i="55"/>
  <c r="H299" i="55"/>
  <c r="H267" i="55"/>
  <c r="H195" i="55"/>
  <c r="H32" i="55"/>
  <c r="H77" i="55"/>
  <c r="H61" i="55"/>
  <c r="H45" i="55"/>
  <c r="H29" i="55"/>
  <c r="H145" i="55"/>
  <c r="H34" i="55"/>
  <c r="H15" i="55"/>
  <c r="H68" i="55"/>
  <c r="H72" i="21"/>
  <c r="E117" i="21"/>
  <c r="H49" i="55"/>
  <c r="H27" i="55"/>
  <c r="H16" i="55"/>
  <c r="H65" i="55"/>
  <c r="H46" i="55"/>
  <c r="H41" i="55"/>
  <c r="H117" i="21"/>
  <c r="H305" i="55"/>
  <c r="L267" i="21" l="1"/>
  <c r="L61" i="21"/>
  <c r="L63" i="21"/>
  <c r="L139" i="21"/>
  <c r="L72" i="21"/>
  <c r="L17" i="21"/>
  <c r="L47" i="21"/>
  <c r="L56" i="21"/>
  <c r="L45" i="21"/>
  <c r="H308" i="55"/>
  <c r="P72" i="29"/>
  <c r="P56" i="29"/>
  <c r="P17" i="29"/>
  <c r="P61" i="29"/>
  <c r="P267" i="29"/>
  <c r="P45" i="29"/>
  <c r="P47" i="29"/>
  <c r="P63" i="29"/>
  <c r="F89" i="9"/>
  <c r="F279" i="9"/>
  <c r="F86" i="9"/>
  <c r="F39" i="9"/>
  <c r="F50" i="9"/>
  <c r="F141" i="9"/>
  <c r="F144" i="9"/>
  <c r="F111" i="9"/>
  <c r="F93" i="9"/>
  <c r="F113" i="9"/>
  <c r="F236" i="9"/>
  <c r="F41" i="9"/>
  <c r="F299" i="9"/>
  <c r="F276" i="9"/>
  <c r="F14" i="9"/>
  <c r="F302" i="9"/>
  <c r="F260" i="9"/>
  <c r="F235" i="9"/>
  <c r="F33" i="9"/>
  <c r="F187" i="9"/>
  <c r="F118" i="9"/>
  <c r="F81" i="9"/>
  <c r="F204" i="9"/>
  <c r="F121" i="9"/>
  <c r="F245" i="9"/>
  <c r="F240" i="9"/>
  <c r="F205" i="9"/>
  <c r="F290" i="9"/>
  <c r="F232" i="9"/>
  <c r="F221" i="9"/>
  <c r="F283" i="9"/>
  <c r="F169" i="9"/>
  <c r="F105" i="9"/>
  <c r="F192" i="9"/>
  <c r="F117" i="9"/>
  <c r="F74" i="9"/>
  <c r="F108" i="9"/>
  <c r="F210" i="9"/>
  <c r="F46" i="9"/>
  <c r="F190" i="9"/>
  <c r="F80" i="9"/>
  <c r="F119" i="9"/>
  <c r="F60" i="9"/>
  <c r="F104" i="9"/>
  <c r="F67" i="9"/>
  <c r="F114" i="9"/>
  <c r="F243" i="9"/>
  <c r="F166" i="9"/>
  <c r="F300" i="9"/>
  <c r="F143" i="9"/>
  <c r="F77" i="9"/>
  <c r="F151" i="9"/>
  <c r="F281" i="9"/>
  <c r="F233" i="9"/>
  <c r="F112" i="9"/>
  <c r="F198" i="9"/>
  <c r="F63" i="9"/>
  <c r="F249" i="9"/>
  <c r="F69" i="9"/>
  <c r="F163" i="9"/>
  <c r="F158" i="9"/>
  <c r="F183" i="9"/>
  <c r="F273" i="9"/>
  <c r="F142" i="9"/>
  <c r="F292" i="9"/>
  <c r="F295" i="9"/>
  <c r="F301" i="9"/>
  <c r="F153" i="9"/>
  <c r="F278" i="9"/>
  <c r="F229" i="9"/>
  <c r="F172" i="9"/>
  <c r="F239" i="9"/>
  <c r="F101" i="9"/>
  <c r="F152" i="9"/>
  <c r="F280" i="9"/>
  <c r="F146" i="9"/>
  <c r="F186" i="9"/>
  <c r="F156" i="9"/>
  <c r="F222" i="9"/>
  <c r="F54" i="9"/>
  <c r="F23" i="9"/>
  <c r="F255" i="9"/>
  <c r="F103" i="9"/>
  <c r="F266" i="9"/>
  <c r="F165" i="9"/>
  <c r="F200" i="9"/>
  <c r="F195" i="9"/>
  <c r="F225" i="9"/>
  <c r="F179" i="9"/>
  <c r="F42" i="9"/>
  <c r="F180" i="9"/>
  <c r="F100" i="9"/>
  <c r="F247" i="9"/>
  <c r="F25" i="9"/>
  <c r="F270" i="9"/>
  <c r="F256" i="9"/>
  <c r="F304" i="9"/>
  <c r="F71" i="9"/>
  <c r="F214" i="9"/>
  <c r="F303" i="9"/>
  <c r="F294" i="9"/>
  <c r="F79" i="9"/>
  <c r="F248" i="9"/>
  <c r="F122" i="9"/>
  <c r="F261" i="9"/>
  <c r="F265" i="9"/>
  <c r="F203" i="9"/>
  <c r="F126" i="9"/>
  <c r="F199" i="9"/>
  <c r="F96" i="9"/>
  <c r="F134" i="9"/>
  <c r="F64" i="9"/>
  <c r="F286" i="9"/>
  <c r="F297" i="9"/>
  <c r="F291" i="9"/>
  <c r="F289" i="9"/>
  <c r="F164" i="9"/>
  <c r="F202" i="9"/>
  <c r="F208" i="9"/>
  <c r="F170" i="9"/>
  <c r="F140" i="9"/>
  <c r="F212" i="9"/>
  <c r="F91" i="9"/>
  <c r="F76" i="9"/>
  <c r="F132" i="9"/>
  <c r="F128" i="9"/>
  <c r="F82" i="9"/>
  <c r="F296" i="9"/>
  <c r="F252" i="9"/>
  <c r="F85" i="9"/>
  <c r="F219" i="9"/>
  <c r="F51" i="9"/>
  <c r="F262" i="9"/>
  <c r="F29" i="9"/>
  <c r="F185" i="9"/>
  <c r="F193" i="9"/>
  <c r="F284" i="9"/>
  <c r="F19" i="9"/>
  <c r="F95" i="9"/>
  <c r="F131" i="9"/>
  <c r="F150" i="9"/>
  <c r="F251" i="9"/>
  <c r="F135" i="9"/>
  <c r="F218" i="9"/>
  <c r="F75" i="9"/>
  <c r="F110" i="9"/>
  <c r="F162" i="9"/>
  <c r="F168" i="9"/>
  <c r="F171" i="9"/>
  <c r="F27" i="9"/>
  <c r="F43" i="9"/>
  <c r="F155" i="9"/>
  <c r="F115" i="9"/>
  <c r="F97" i="9"/>
  <c r="F53" i="9"/>
  <c r="F148" i="9"/>
  <c r="F24" i="9"/>
  <c r="F99" i="9"/>
  <c r="F268" i="9"/>
  <c r="F84" i="9"/>
  <c r="F127" i="9"/>
  <c r="F181" i="9"/>
  <c r="F272" i="9"/>
  <c r="F90" i="9"/>
  <c r="F269" i="9"/>
  <c r="F98" i="9"/>
  <c r="F149" i="9"/>
  <c r="F216" i="9"/>
  <c r="F282" i="9"/>
  <c r="F109" i="9"/>
  <c r="F173" i="9"/>
  <c r="F293" i="9"/>
  <c r="F102" i="9"/>
  <c r="F271" i="9"/>
  <c r="F174" i="9"/>
  <c r="F159" i="9"/>
  <c r="F35" i="9"/>
  <c r="F65" i="9"/>
  <c r="F16" i="9"/>
  <c r="F49" i="9"/>
  <c r="F56" i="9"/>
  <c r="F52" i="9"/>
  <c r="F209" i="9"/>
  <c r="F66" i="9"/>
  <c r="F48" i="9"/>
  <c r="F228" i="9"/>
  <c r="F231" i="9"/>
  <c r="F130" i="9"/>
  <c r="F207" i="9"/>
  <c r="F44" i="9"/>
  <c r="F147" i="9"/>
  <c r="F230" i="9"/>
  <c r="F175" i="9"/>
  <c r="F136" i="9"/>
  <c r="F264" i="9"/>
  <c r="F72" i="9"/>
  <c r="F87" i="9"/>
  <c r="F133" i="9"/>
  <c r="F197" i="9"/>
  <c r="F47" i="9"/>
  <c r="F61" i="9"/>
  <c r="F32" i="9"/>
  <c r="F254" i="9"/>
  <c r="F194" i="9"/>
  <c r="F189" i="9"/>
  <c r="F274" i="9"/>
  <c r="F83" i="9"/>
  <c r="F145" i="9"/>
  <c r="F215" i="9"/>
  <c r="F40" i="9"/>
  <c r="F287" i="9"/>
  <c r="F191" i="9"/>
  <c r="F160" i="9"/>
  <c r="F125" i="9"/>
  <c r="F92" i="9"/>
  <c r="F234" i="9"/>
  <c r="F120" i="9"/>
  <c r="F305" i="9"/>
  <c r="F73" i="9"/>
  <c r="F37" i="9"/>
  <c r="F129" i="9"/>
  <c r="F226" i="9"/>
  <c r="F178" i="9"/>
  <c r="F138" i="9"/>
  <c r="F237" i="9"/>
  <c r="F188" i="9"/>
  <c r="F45" i="9"/>
  <c r="F238" i="9"/>
  <c r="F116" i="9"/>
  <c r="F70" i="9"/>
  <c r="F223" i="9"/>
  <c r="F123" i="9"/>
  <c r="F213" i="9"/>
  <c r="F34" i="9"/>
  <c r="F244" i="9"/>
  <c r="F253" i="9"/>
  <c r="F259" i="9"/>
  <c r="F176" i="9"/>
  <c r="F224" i="9"/>
  <c r="F267" i="9"/>
  <c r="F107" i="9"/>
  <c r="F257" i="9"/>
  <c r="F206" i="9"/>
  <c r="F184" i="9"/>
  <c r="F298" i="9"/>
  <c r="F68" i="9"/>
  <c r="F15" i="9"/>
  <c r="F58" i="9"/>
  <c r="F227" i="9"/>
  <c r="F154" i="9"/>
  <c r="F246" i="9"/>
  <c r="F211" i="9"/>
  <c r="F242" i="9"/>
  <c r="F285" i="9"/>
  <c r="F106" i="9"/>
  <c r="F21" i="9"/>
  <c r="F161" i="9"/>
  <c r="F288" i="9"/>
  <c r="F201" i="9"/>
  <c r="F26" i="9"/>
  <c r="F55" i="9"/>
  <c r="F20" i="9"/>
  <c r="F28" i="9"/>
  <c r="F22" i="9"/>
  <c r="F18" i="9"/>
  <c r="F137" i="9"/>
  <c r="F57" i="9"/>
  <c r="F306" i="9"/>
  <c r="F88" i="9"/>
  <c r="F258" i="9"/>
  <c r="F36" i="9"/>
  <c r="F124" i="9"/>
  <c r="F275" i="9"/>
  <c r="F31" i="9"/>
  <c r="F17" i="9"/>
  <c r="F196" i="9"/>
  <c r="F277" i="9"/>
  <c r="F241" i="9"/>
  <c r="F182" i="9"/>
  <c r="F250" i="9"/>
  <c r="F157" i="9"/>
  <c r="F59" i="9"/>
  <c r="F217" i="9"/>
  <c r="F167" i="9"/>
  <c r="F139" i="9"/>
  <c r="F30" i="9"/>
  <c r="F38" i="9"/>
  <c r="F62" i="9"/>
  <c r="F263" i="9"/>
  <c r="F177" i="9"/>
  <c r="F220" i="9"/>
  <c r="H27" i="21"/>
  <c r="G27" i="21"/>
  <c r="F27" i="21"/>
  <c r="D27" i="21"/>
  <c r="E27" i="21"/>
  <c r="D117" i="21"/>
  <c r="G117" i="21"/>
  <c r="J117" i="21"/>
  <c r="D235" i="21"/>
  <c r="F235" i="21"/>
  <c r="G235" i="21"/>
  <c r="H235" i="21"/>
  <c r="J235" i="21"/>
  <c r="E235" i="21"/>
  <c r="D190" i="21"/>
  <c r="E190" i="21"/>
  <c r="J190" i="21"/>
  <c r="F190" i="21"/>
  <c r="H190" i="21"/>
  <c r="G190" i="21"/>
  <c r="D297" i="21"/>
  <c r="F297" i="21"/>
  <c r="G297" i="21"/>
  <c r="E297" i="21"/>
  <c r="H297" i="21"/>
  <c r="J297" i="21"/>
  <c r="D203" i="21"/>
  <c r="G203" i="21"/>
  <c r="F203" i="21"/>
  <c r="J203" i="21"/>
  <c r="H203" i="21"/>
  <c r="E203" i="21"/>
  <c r="D211" i="21"/>
  <c r="H211" i="21"/>
  <c r="E211" i="21"/>
  <c r="J211" i="21"/>
  <c r="G211" i="21"/>
  <c r="F211" i="21"/>
  <c r="D24" i="21"/>
  <c r="E24" i="21"/>
  <c r="H24" i="21"/>
  <c r="F24" i="21"/>
  <c r="G24" i="21"/>
  <c r="J24" i="21"/>
  <c r="D23" i="21"/>
  <c r="H23" i="21"/>
  <c r="F23" i="21"/>
  <c r="E23" i="21"/>
  <c r="G23" i="21"/>
  <c r="J23" i="21"/>
  <c r="D157" i="21"/>
  <c r="J157" i="21"/>
  <c r="F157" i="21"/>
  <c r="H157" i="21"/>
  <c r="G157" i="21"/>
  <c r="E157" i="21"/>
  <c r="D229" i="21"/>
  <c r="G229" i="21"/>
  <c r="E229" i="21"/>
  <c r="J229" i="21"/>
  <c r="F229" i="21"/>
  <c r="H229" i="21"/>
  <c r="D238" i="21"/>
  <c r="G238" i="21"/>
  <c r="H238" i="21"/>
  <c r="F238" i="21"/>
  <c r="E238" i="21"/>
  <c r="J238" i="21"/>
  <c r="D305" i="21"/>
  <c r="G305" i="21"/>
  <c r="E305" i="21"/>
  <c r="F305" i="21"/>
  <c r="J305" i="21"/>
  <c r="H305" i="21"/>
  <c r="D78" i="21"/>
  <c r="F78" i="21"/>
  <c r="H78" i="21"/>
  <c r="J78" i="21"/>
  <c r="E78" i="21"/>
  <c r="G78" i="21"/>
  <c r="D44" i="21"/>
  <c r="F44" i="21"/>
  <c r="G44" i="21"/>
  <c r="E44" i="21"/>
  <c r="H44" i="21"/>
  <c r="J44" i="21"/>
  <c r="D205" i="21"/>
  <c r="J205" i="21"/>
  <c r="H205" i="21"/>
  <c r="E205" i="21"/>
  <c r="F205" i="21"/>
  <c r="G205" i="21"/>
  <c r="D264" i="21"/>
  <c r="G264" i="21"/>
  <c r="E264" i="21"/>
  <c r="F264" i="21"/>
  <c r="J264" i="21"/>
  <c r="H264" i="21"/>
  <c r="D18" i="21"/>
  <c r="J18" i="21"/>
  <c r="H18" i="21"/>
  <c r="F18" i="21"/>
  <c r="E18" i="21"/>
  <c r="G18" i="21"/>
  <c r="D66" i="21"/>
  <c r="H66" i="21"/>
  <c r="J66" i="21"/>
  <c r="E66" i="21"/>
  <c r="F66" i="21"/>
  <c r="G66" i="21"/>
  <c r="D249" i="21"/>
  <c r="F249" i="21"/>
  <c r="J249" i="21"/>
  <c r="E249" i="21"/>
  <c r="G249" i="21"/>
  <c r="H249" i="21"/>
  <c r="D19" i="21"/>
  <c r="H19" i="21"/>
  <c r="J19" i="21"/>
  <c r="G19" i="21"/>
  <c r="E19" i="21"/>
  <c r="F19" i="21"/>
  <c r="D270" i="21"/>
  <c r="G270" i="21"/>
  <c r="J270" i="21"/>
  <c r="H270" i="21"/>
  <c r="E270" i="21"/>
  <c r="F270" i="21"/>
  <c r="D16" i="21"/>
  <c r="J16" i="21"/>
  <c r="E16" i="21"/>
  <c r="H16" i="21"/>
  <c r="F16" i="21"/>
  <c r="G16" i="21"/>
  <c r="D134" i="21"/>
  <c r="H134" i="21"/>
  <c r="G134" i="21"/>
  <c r="E134" i="21"/>
  <c r="F134" i="21"/>
  <c r="J134" i="21"/>
  <c r="D230" i="21"/>
  <c r="J230" i="21"/>
  <c r="G230" i="21"/>
  <c r="H230" i="21"/>
  <c r="E230" i="21"/>
  <c r="F230" i="21"/>
  <c r="D129" i="21"/>
  <c r="H129" i="21"/>
  <c r="G129" i="21"/>
  <c r="F129" i="21"/>
  <c r="J129" i="21"/>
  <c r="E129" i="21"/>
  <c r="D105" i="21"/>
  <c r="F105" i="21"/>
  <c r="J105" i="21"/>
  <c r="E105" i="21"/>
  <c r="H105" i="21"/>
  <c r="G105" i="21"/>
  <c r="D207" i="21"/>
  <c r="E207" i="21"/>
  <c r="J207" i="21"/>
  <c r="G207" i="21"/>
  <c r="F207" i="21"/>
  <c r="H207" i="21"/>
  <c r="D154" i="21"/>
  <c r="F154" i="21"/>
  <c r="E154" i="21"/>
  <c r="H154" i="21"/>
  <c r="G154" i="21"/>
  <c r="J154" i="21"/>
  <c r="D214" i="21"/>
  <c r="F214" i="21"/>
  <c r="H214" i="21"/>
  <c r="G214" i="21"/>
  <c r="E214" i="21"/>
  <c r="J214" i="21"/>
  <c r="D212" i="21"/>
  <c r="H212" i="21"/>
  <c r="F212" i="21"/>
  <c r="G212" i="21"/>
  <c r="J212" i="21"/>
  <c r="E212" i="21"/>
  <c r="D151" i="21"/>
  <c r="J151" i="21"/>
  <c r="F151" i="21"/>
  <c r="E151" i="21"/>
  <c r="H151" i="21"/>
  <c r="G151" i="21"/>
  <c r="D34" i="21"/>
  <c r="J34" i="21"/>
  <c r="G34" i="21"/>
  <c r="F34" i="21"/>
  <c r="H34" i="21"/>
  <c r="E34" i="21"/>
  <c r="D233" i="21"/>
  <c r="F233" i="21"/>
  <c r="J233" i="21"/>
  <c r="E233" i="21"/>
  <c r="H233" i="21"/>
  <c r="G233" i="21"/>
  <c r="D97" i="21"/>
  <c r="F97" i="21"/>
  <c r="J97" i="21"/>
  <c r="H97" i="21"/>
  <c r="G97" i="21"/>
  <c r="E97" i="21"/>
  <c r="D186" i="21"/>
  <c r="E186" i="21"/>
  <c r="J186" i="21"/>
  <c r="G186" i="21"/>
  <c r="F186" i="21"/>
  <c r="H186" i="21"/>
  <c r="D287" i="21"/>
  <c r="H287" i="21"/>
  <c r="G287" i="21"/>
  <c r="F287" i="21"/>
  <c r="E287" i="21"/>
  <c r="J287" i="21"/>
  <c r="H290" i="21"/>
  <c r="G290" i="21"/>
  <c r="D290" i="21"/>
  <c r="E290" i="21"/>
  <c r="J290" i="21"/>
  <c r="F290" i="21"/>
  <c r="D275" i="21"/>
  <c r="H275" i="21"/>
  <c r="G275" i="21"/>
  <c r="F275" i="21"/>
  <c r="J275" i="21"/>
  <c r="E275" i="21"/>
  <c r="D263" i="21"/>
  <c r="E263" i="21"/>
  <c r="F263" i="21"/>
  <c r="J263" i="21"/>
  <c r="H263" i="21"/>
  <c r="G263" i="21"/>
  <c r="D234" i="21"/>
  <c r="H234" i="21"/>
  <c r="E234" i="21"/>
  <c r="F234" i="21"/>
  <c r="G234" i="21"/>
  <c r="J234" i="21"/>
  <c r="D251" i="21"/>
  <c r="F251" i="21"/>
  <c r="J251" i="21"/>
  <c r="E251" i="21"/>
  <c r="G251" i="21"/>
  <c r="H251" i="21"/>
  <c r="D52" i="21"/>
  <c r="G52" i="21"/>
  <c r="E52" i="21"/>
  <c r="F52" i="21"/>
  <c r="H52" i="21"/>
  <c r="J52" i="21"/>
  <c r="D289" i="21"/>
  <c r="E289" i="21"/>
  <c r="F289" i="21"/>
  <c r="J289" i="21"/>
  <c r="H289" i="21"/>
  <c r="G289" i="21"/>
  <c r="D79" i="21"/>
  <c r="H79" i="21"/>
  <c r="E79" i="21"/>
  <c r="F79" i="21"/>
  <c r="J79" i="21"/>
  <c r="G79" i="21"/>
  <c r="D108" i="21"/>
  <c r="E108" i="21"/>
  <c r="F108" i="21"/>
  <c r="H108" i="21"/>
  <c r="J108" i="21"/>
  <c r="G108" i="21"/>
  <c r="D303" i="21"/>
  <c r="F303" i="21"/>
  <c r="H303" i="21"/>
  <c r="G303" i="21"/>
  <c r="E303" i="21"/>
  <c r="J303" i="21"/>
  <c r="D87" i="21"/>
  <c r="H87" i="21"/>
  <c r="G87" i="21"/>
  <c r="F87" i="21"/>
  <c r="E87" i="21"/>
  <c r="J87" i="21"/>
  <c r="D75" i="21"/>
  <c r="G75" i="21"/>
  <c r="F75" i="21"/>
  <c r="J75" i="21"/>
  <c r="E75" i="21"/>
  <c r="H75" i="21"/>
  <c r="D155" i="21"/>
  <c r="E155" i="21"/>
  <c r="H155" i="21"/>
  <c r="F155" i="21"/>
  <c r="J155" i="21"/>
  <c r="G155" i="21"/>
  <c r="D71" i="21"/>
  <c r="F71" i="21"/>
  <c r="G71" i="21"/>
  <c r="J71" i="21"/>
  <c r="E71" i="21"/>
  <c r="H71" i="21"/>
  <c r="D55" i="21"/>
  <c r="G55" i="21"/>
  <c r="E55" i="21"/>
  <c r="H55" i="21"/>
  <c r="J55" i="21"/>
  <c r="F55" i="21"/>
  <c r="D59" i="21"/>
  <c r="E59" i="21"/>
  <c r="F59" i="21"/>
  <c r="G59" i="21"/>
  <c r="H59" i="21"/>
  <c r="J59" i="21"/>
  <c r="D14" i="21"/>
  <c r="G14" i="21"/>
  <c r="J14" i="21"/>
  <c r="E14" i="21"/>
  <c r="H14" i="21"/>
  <c r="F14" i="21"/>
  <c r="D177" i="21"/>
  <c r="G177" i="21"/>
  <c r="J177" i="21"/>
  <c r="E177" i="21"/>
  <c r="F177" i="21"/>
  <c r="H177" i="21"/>
  <c r="D241" i="21"/>
  <c r="J241" i="21"/>
  <c r="G241" i="21"/>
  <c r="E241" i="21"/>
  <c r="F241" i="21"/>
  <c r="H241" i="21"/>
  <c r="D42" i="21"/>
  <c r="F42" i="21"/>
  <c r="J42" i="21"/>
  <c r="G42" i="21"/>
  <c r="H42" i="21"/>
  <c r="E42" i="21"/>
  <c r="J195" i="21"/>
  <c r="G195" i="21"/>
  <c r="E195" i="21"/>
  <c r="F195" i="21"/>
  <c r="H195" i="21"/>
  <c r="D195" i="21"/>
  <c r="D160" i="21"/>
  <c r="G160" i="21"/>
  <c r="H160" i="21"/>
  <c r="F160" i="21"/>
  <c r="E160" i="21"/>
  <c r="J160" i="21"/>
  <c r="D82" i="21"/>
  <c r="E82" i="21"/>
  <c r="H82" i="21"/>
  <c r="J82" i="21"/>
  <c r="F82" i="21"/>
  <c r="G82" i="21"/>
  <c r="D291" i="21"/>
  <c r="E291" i="21"/>
  <c r="H291" i="21"/>
  <c r="J291" i="21"/>
  <c r="G291" i="21"/>
  <c r="F291" i="21"/>
  <c r="D299" i="21"/>
  <c r="F299" i="21"/>
  <c r="E299" i="21"/>
  <c r="H299" i="21"/>
  <c r="G299" i="21"/>
  <c r="J299" i="21"/>
  <c r="D125" i="21"/>
  <c r="H125" i="21"/>
  <c r="J125" i="21"/>
  <c r="E125" i="21"/>
  <c r="F125" i="21"/>
  <c r="G125" i="21"/>
  <c r="D272" i="21"/>
  <c r="J272" i="21"/>
  <c r="G272" i="21"/>
  <c r="E272" i="21"/>
  <c r="F272" i="21"/>
  <c r="H272" i="21"/>
  <c r="D46" i="21"/>
  <c r="E46" i="21"/>
  <c r="J46" i="21"/>
  <c r="G46" i="21"/>
  <c r="F46" i="21"/>
  <c r="H46" i="21"/>
  <c r="D123" i="21"/>
  <c r="E123" i="21"/>
  <c r="J123" i="21"/>
  <c r="F123" i="21"/>
  <c r="H123" i="21"/>
  <c r="G123" i="21"/>
  <c r="D110" i="21"/>
  <c r="J110" i="21"/>
  <c r="F110" i="21"/>
  <c r="E110" i="21"/>
  <c r="G110" i="21"/>
  <c r="H110" i="21"/>
  <c r="D196" i="21"/>
  <c r="H196" i="21"/>
  <c r="F196" i="21"/>
  <c r="G196" i="21"/>
  <c r="E196" i="21"/>
  <c r="J196" i="21"/>
  <c r="D271" i="21"/>
  <c r="G271" i="21"/>
  <c r="F271" i="21"/>
  <c r="E271" i="21"/>
  <c r="J271" i="21"/>
  <c r="H271" i="21"/>
  <c r="D171" i="21"/>
  <c r="F171" i="21"/>
  <c r="G171" i="21"/>
  <c r="H171" i="21"/>
  <c r="E171" i="21"/>
  <c r="J171" i="21"/>
  <c r="D172" i="21"/>
  <c r="G172" i="21"/>
  <c r="E172" i="21"/>
  <c r="J172" i="21"/>
  <c r="H172" i="21"/>
  <c r="F172" i="21"/>
  <c r="D231" i="21"/>
  <c r="H231" i="21"/>
  <c r="J231" i="21"/>
  <c r="G231" i="21"/>
  <c r="E231" i="21"/>
  <c r="F231" i="21"/>
  <c r="D239" i="21"/>
  <c r="F239" i="21"/>
  <c r="H239" i="21"/>
  <c r="J239" i="21"/>
  <c r="E239" i="21"/>
  <c r="G239" i="21"/>
  <c r="D143" i="21"/>
  <c r="G143" i="21"/>
  <c r="J143" i="21"/>
  <c r="H143" i="21"/>
  <c r="E143" i="21"/>
  <c r="F143" i="21"/>
  <c r="D192" i="21"/>
  <c r="E192" i="21"/>
  <c r="J192" i="21"/>
  <c r="F192" i="21"/>
  <c r="H192" i="21"/>
  <c r="G192" i="21"/>
  <c r="D33" i="21"/>
  <c r="E33" i="21"/>
  <c r="F33" i="21"/>
  <c r="H33" i="21"/>
  <c r="J33" i="21"/>
  <c r="G33" i="21"/>
  <c r="D119" i="21"/>
  <c r="G119" i="21"/>
  <c r="E119" i="21"/>
  <c r="F119" i="21"/>
  <c r="H119" i="21"/>
  <c r="J119" i="21"/>
  <c r="D170" i="21"/>
  <c r="E170" i="21"/>
  <c r="G170" i="21"/>
  <c r="F170" i="21"/>
  <c r="H170" i="21"/>
  <c r="J170" i="21"/>
  <c r="D39" i="21"/>
  <c r="F39" i="21"/>
  <c r="G39" i="21"/>
  <c r="E39" i="21"/>
  <c r="H39" i="21"/>
  <c r="J39" i="21"/>
  <c r="D54" i="21"/>
  <c r="H54" i="21"/>
  <c r="F54" i="21"/>
  <c r="E54" i="21"/>
  <c r="J54" i="21"/>
  <c r="G54" i="21"/>
  <c r="D96" i="21"/>
  <c r="H96" i="21"/>
  <c r="J96" i="21"/>
  <c r="E96" i="21"/>
  <c r="G96" i="21"/>
  <c r="F96" i="21"/>
  <c r="D247" i="21"/>
  <c r="E247" i="21"/>
  <c r="J247" i="21"/>
  <c r="F247" i="21"/>
  <c r="H247" i="21"/>
  <c r="G247" i="21"/>
  <c r="D116" i="21"/>
  <c r="E116" i="21"/>
  <c r="J116" i="21"/>
  <c r="F116" i="21"/>
  <c r="H116" i="21"/>
  <c r="G116" i="21"/>
  <c r="D217" i="21"/>
  <c r="G217" i="21"/>
  <c r="F217" i="21"/>
  <c r="H217" i="21"/>
  <c r="J217" i="21"/>
  <c r="E217" i="21"/>
  <c r="D300" i="21"/>
  <c r="J300" i="21"/>
  <c r="F300" i="21"/>
  <c r="H300" i="21"/>
  <c r="G300" i="21"/>
  <c r="E300" i="21"/>
  <c r="D298" i="21"/>
  <c r="J298" i="21"/>
  <c r="H298" i="21"/>
  <c r="E298" i="21"/>
  <c r="F298" i="21"/>
  <c r="G298" i="21"/>
  <c r="D22" i="21"/>
  <c r="G22" i="21"/>
  <c r="F22" i="21"/>
  <c r="J22" i="21"/>
  <c r="H22" i="21"/>
  <c r="E22" i="21"/>
  <c r="C308" i="4"/>
  <c r="D147" i="21"/>
  <c r="F147" i="21"/>
  <c r="H147" i="21"/>
  <c r="E147" i="21"/>
  <c r="G147" i="21"/>
  <c r="J147" i="21"/>
  <c r="D112" i="21"/>
  <c r="F112" i="21"/>
  <c r="G112" i="21"/>
  <c r="H112" i="21"/>
  <c r="E112" i="21"/>
  <c r="J112" i="21"/>
  <c r="D57" i="21"/>
  <c r="E57" i="21"/>
  <c r="F57" i="21"/>
  <c r="G57" i="21"/>
  <c r="J57" i="21"/>
  <c r="H57" i="21"/>
  <c r="D280" i="21"/>
  <c r="H280" i="21"/>
  <c r="E280" i="21"/>
  <c r="F280" i="21"/>
  <c r="J280" i="21"/>
  <c r="G280" i="21"/>
  <c r="D94" i="21"/>
  <c r="G94" i="21"/>
  <c r="F94" i="21"/>
  <c r="H94" i="21"/>
  <c r="J94" i="21"/>
  <c r="E94" i="21"/>
  <c r="D181" i="21"/>
  <c r="G181" i="21"/>
  <c r="F181" i="21"/>
  <c r="J181" i="21"/>
  <c r="E181" i="21"/>
  <c r="H181" i="21"/>
  <c r="D126" i="21"/>
  <c r="H126" i="21"/>
  <c r="J126" i="21"/>
  <c r="G126" i="21"/>
  <c r="F126" i="21"/>
  <c r="E126" i="21"/>
  <c r="E222" i="21"/>
  <c r="F222" i="21"/>
  <c r="G222" i="21"/>
  <c r="J222" i="21"/>
  <c r="D222" i="21"/>
  <c r="H222" i="21"/>
  <c r="D65" i="21"/>
  <c r="H65" i="21"/>
  <c r="F65" i="21"/>
  <c r="G65" i="21"/>
  <c r="E65" i="21"/>
  <c r="J65" i="21"/>
  <c r="D141" i="21"/>
  <c r="F141" i="21"/>
  <c r="G141" i="21"/>
  <c r="H141" i="21"/>
  <c r="J141" i="21"/>
  <c r="E141" i="21"/>
  <c r="D28" i="21"/>
  <c r="F28" i="21"/>
  <c r="H28" i="21"/>
  <c r="E28" i="21"/>
  <c r="J28" i="21"/>
  <c r="G28" i="21"/>
  <c r="D189" i="21"/>
  <c r="H189" i="21"/>
  <c r="G189" i="21"/>
  <c r="F189" i="21"/>
  <c r="E189" i="21"/>
  <c r="J189" i="21"/>
  <c r="D261" i="21"/>
  <c r="E261" i="21"/>
  <c r="G261" i="21"/>
  <c r="F261" i="21"/>
  <c r="J261" i="21"/>
  <c r="H261" i="21"/>
  <c r="D184" i="21"/>
  <c r="F184" i="21"/>
  <c r="E184" i="21"/>
  <c r="G184" i="21"/>
  <c r="H184" i="21"/>
  <c r="J184" i="21"/>
  <c r="D140" i="21"/>
  <c r="F140" i="21"/>
  <c r="G140" i="21"/>
  <c r="E140" i="21"/>
  <c r="H140" i="21"/>
  <c r="J140" i="21"/>
  <c r="D49" i="21"/>
  <c r="G49" i="21"/>
  <c r="E49" i="21"/>
  <c r="F49" i="21"/>
  <c r="J49" i="21"/>
  <c r="H49" i="21"/>
  <c r="D50" i="21"/>
  <c r="H50" i="21"/>
  <c r="F50" i="21"/>
  <c r="G50" i="21"/>
  <c r="J50" i="21"/>
  <c r="E50" i="21"/>
  <c r="D294" i="21"/>
  <c r="H294" i="21"/>
  <c r="F294" i="21"/>
  <c r="G294" i="21"/>
  <c r="J294" i="21"/>
  <c r="E294" i="21"/>
  <c r="F73" i="21"/>
  <c r="H73" i="21"/>
  <c r="J73" i="21"/>
  <c r="D73" i="21"/>
  <c r="E73" i="21"/>
  <c r="G73" i="21"/>
  <c r="D74" i="21"/>
  <c r="H74" i="21"/>
  <c r="J74" i="21"/>
  <c r="G74" i="21"/>
  <c r="E74" i="21"/>
  <c r="F74" i="21"/>
  <c r="D254" i="21"/>
  <c r="J254" i="21"/>
  <c r="E254" i="21"/>
  <c r="H254" i="21"/>
  <c r="F254" i="21"/>
  <c r="G254" i="21"/>
  <c r="D118" i="21"/>
  <c r="H118" i="21"/>
  <c r="J118" i="21"/>
  <c r="F118" i="21"/>
  <c r="E118" i="21"/>
  <c r="G118" i="21"/>
  <c r="D279" i="21"/>
  <c r="F279" i="21"/>
  <c r="J279" i="21"/>
  <c r="E279" i="21"/>
  <c r="H279" i="21"/>
  <c r="G279" i="21"/>
  <c r="D100" i="21"/>
  <c r="G100" i="21"/>
  <c r="H100" i="21"/>
  <c r="E100" i="21"/>
  <c r="F100" i="21"/>
  <c r="J100" i="21"/>
  <c r="D167" i="21"/>
  <c r="J167" i="21"/>
  <c r="F167" i="21"/>
  <c r="E167" i="21"/>
  <c r="G167" i="21"/>
  <c r="H167" i="21"/>
  <c r="D301" i="21"/>
  <c r="E301" i="21"/>
  <c r="F301" i="21"/>
  <c r="G301" i="21"/>
  <c r="J301" i="21"/>
  <c r="H301" i="21"/>
  <c r="D137" i="21"/>
  <c r="E137" i="21"/>
  <c r="H137" i="21"/>
  <c r="J137" i="21"/>
  <c r="F137" i="21"/>
  <c r="G137" i="21"/>
  <c r="D265" i="21"/>
  <c r="H265" i="21"/>
  <c r="G265" i="21"/>
  <c r="E265" i="21"/>
  <c r="F265" i="21"/>
  <c r="J265" i="21"/>
  <c r="D276" i="21"/>
  <c r="H276" i="21"/>
  <c r="G276" i="21"/>
  <c r="J276" i="21"/>
  <c r="E276" i="21"/>
  <c r="F276" i="21"/>
  <c r="D204" i="21"/>
  <c r="E204" i="21"/>
  <c r="H204" i="21"/>
  <c r="F204" i="21"/>
  <c r="J204" i="21"/>
  <c r="G204" i="21"/>
  <c r="H306" i="21"/>
  <c r="J306" i="21"/>
  <c r="D240" i="21"/>
  <c r="G240" i="21"/>
  <c r="H240" i="21"/>
  <c r="J240" i="21"/>
  <c r="E240" i="21"/>
  <c r="F240" i="21"/>
  <c r="D295" i="21"/>
  <c r="F295" i="21"/>
  <c r="H295" i="21"/>
  <c r="G295" i="21"/>
  <c r="E295" i="21"/>
  <c r="J295" i="21"/>
  <c r="D219" i="21"/>
  <c r="H219" i="21"/>
  <c r="J219" i="21"/>
  <c r="E219" i="21"/>
  <c r="F219" i="21"/>
  <c r="G219" i="21"/>
  <c r="D216" i="21"/>
  <c r="H216" i="21"/>
  <c r="J216" i="21"/>
  <c r="E216" i="21"/>
  <c r="G216" i="21"/>
  <c r="F216" i="21"/>
  <c r="D93" i="21"/>
  <c r="J93" i="21"/>
  <c r="E93" i="21"/>
  <c r="F93" i="21"/>
  <c r="H93" i="21"/>
  <c r="G93" i="21"/>
  <c r="D286" i="21"/>
  <c r="H286" i="21"/>
  <c r="E286" i="21"/>
  <c r="G286" i="21"/>
  <c r="J286" i="21"/>
  <c r="F286" i="21"/>
  <c r="C308" i="3"/>
  <c r="D29" i="21"/>
  <c r="E29" i="21"/>
  <c r="J29" i="21"/>
  <c r="G29" i="21"/>
  <c r="H29" i="21"/>
  <c r="F29" i="21"/>
  <c r="D131" i="21"/>
  <c r="H131" i="21"/>
  <c r="J131" i="21"/>
  <c r="G131" i="21"/>
  <c r="E131" i="21"/>
  <c r="F131" i="21"/>
  <c r="D88" i="21"/>
  <c r="H88" i="21"/>
  <c r="J88" i="21"/>
  <c r="G88" i="21"/>
  <c r="E88" i="21"/>
  <c r="F88" i="21"/>
  <c r="D58" i="21"/>
  <c r="G58" i="21"/>
  <c r="J58" i="21"/>
  <c r="E58" i="21"/>
  <c r="F58" i="21"/>
  <c r="H58" i="21"/>
  <c r="D152" i="21"/>
  <c r="H152" i="21"/>
  <c r="E152" i="21"/>
  <c r="G152" i="21"/>
  <c r="J152" i="21"/>
  <c r="F152" i="21"/>
  <c r="D302" i="21"/>
  <c r="H302" i="21"/>
  <c r="F302" i="21"/>
  <c r="E302" i="21"/>
  <c r="G302" i="21"/>
  <c r="J302" i="21"/>
  <c r="D15" i="21"/>
  <c r="E15" i="21"/>
  <c r="J15" i="21"/>
  <c r="F15" i="21"/>
  <c r="H15" i="21"/>
  <c r="G15" i="21"/>
  <c r="D307" i="21"/>
  <c r="E307" i="21"/>
  <c r="J307" i="21"/>
  <c r="H307" i="21"/>
  <c r="G307" i="21"/>
  <c r="F307" i="21"/>
  <c r="D200" i="21"/>
  <c r="J200" i="21"/>
  <c r="G200" i="21"/>
  <c r="F200" i="21"/>
  <c r="E200" i="21"/>
  <c r="H200" i="21"/>
  <c r="D161" i="21"/>
  <c r="E161" i="21"/>
  <c r="J161" i="21"/>
  <c r="H161" i="21"/>
  <c r="F161" i="21"/>
  <c r="G161" i="21"/>
  <c r="D68" i="21"/>
  <c r="J68" i="21"/>
  <c r="F68" i="21"/>
  <c r="E68" i="21"/>
  <c r="G68" i="21"/>
  <c r="H68" i="21"/>
  <c r="D165" i="21"/>
  <c r="J165" i="21"/>
  <c r="F165" i="21"/>
  <c r="E165" i="21"/>
  <c r="H165" i="21"/>
  <c r="G165" i="21"/>
  <c r="D288" i="21"/>
  <c r="G288" i="21"/>
  <c r="H288" i="21"/>
  <c r="F288" i="21"/>
  <c r="J288" i="21"/>
  <c r="E288" i="21"/>
  <c r="D246" i="21"/>
  <c r="J246" i="21"/>
  <c r="H246" i="21"/>
  <c r="F246" i="21"/>
  <c r="G246" i="21"/>
  <c r="E246" i="21"/>
  <c r="D102" i="21"/>
  <c r="G102" i="21"/>
  <c r="F102" i="21"/>
  <c r="E102" i="21"/>
  <c r="H102" i="21"/>
  <c r="J102" i="21"/>
  <c r="D121" i="21"/>
  <c r="E121" i="21"/>
  <c r="F121" i="21"/>
  <c r="J121" i="21"/>
  <c r="H121" i="21"/>
  <c r="G121" i="21"/>
  <c r="D259" i="21"/>
  <c r="G259" i="21"/>
  <c r="E259" i="21"/>
  <c r="F259" i="21"/>
  <c r="J259" i="21"/>
  <c r="H259" i="21"/>
  <c r="D37" i="21"/>
  <c r="G37" i="21"/>
  <c r="F37" i="21"/>
  <c r="J37" i="21"/>
  <c r="E37" i="21"/>
  <c r="H37" i="21"/>
  <c r="D273" i="21"/>
  <c r="J273" i="21"/>
  <c r="E273" i="21"/>
  <c r="H273" i="21"/>
  <c r="G273" i="21"/>
  <c r="F273" i="21"/>
  <c r="D221" i="21"/>
  <c r="F221" i="21"/>
  <c r="J221" i="21"/>
  <c r="E221" i="21"/>
  <c r="H221" i="21"/>
  <c r="G221" i="21"/>
  <c r="D107" i="21"/>
  <c r="F107" i="21"/>
  <c r="J107" i="21"/>
  <c r="H107" i="21"/>
  <c r="G107" i="21"/>
  <c r="E107" i="21"/>
  <c r="D232" i="21"/>
  <c r="G232" i="21"/>
  <c r="H232" i="21"/>
  <c r="J232" i="21"/>
  <c r="F232" i="21"/>
  <c r="E232" i="21"/>
  <c r="D198" i="21"/>
  <c r="H198" i="21"/>
  <c r="G198" i="21"/>
  <c r="F198" i="21"/>
  <c r="E198" i="21"/>
  <c r="J198" i="21"/>
  <c r="D268" i="21"/>
  <c r="G268" i="21"/>
  <c r="J268" i="21"/>
  <c r="H268" i="21"/>
  <c r="E268" i="21"/>
  <c r="F268" i="21"/>
  <c r="D127" i="21"/>
  <c r="G127" i="21"/>
  <c r="E127" i="21"/>
  <c r="J127" i="21"/>
  <c r="F127" i="21"/>
  <c r="H127" i="21"/>
  <c r="D226" i="21"/>
  <c r="G226" i="21"/>
  <c r="J226" i="21"/>
  <c r="H226" i="21"/>
  <c r="F226" i="21"/>
  <c r="E226" i="21"/>
  <c r="D191" i="21"/>
  <c r="H191" i="21"/>
  <c r="E191" i="21"/>
  <c r="J191" i="21"/>
  <c r="F191" i="21"/>
  <c r="G191" i="21"/>
  <c r="D135" i="21"/>
  <c r="F135" i="21"/>
  <c r="J135" i="21"/>
  <c r="H135" i="21"/>
  <c r="G135" i="21"/>
  <c r="E135" i="21"/>
  <c r="D122" i="21"/>
  <c r="G122" i="21"/>
  <c r="E122" i="21"/>
  <c r="F122" i="21"/>
  <c r="H122" i="21"/>
  <c r="J122" i="21"/>
  <c r="D256" i="21"/>
  <c r="F256" i="21"/>
  <c r="E256" i="21"/>
  <c r="G256" i="21"/>
  <c r="J256" i="21"/>
  <c r="H256" i="21"/>
  <c r="D269" i="21"/>
  <c r="E269" i="21"/>
  <c r="H269" i="21"/>
  <c r="G269" i="21"/>
  <c r="J269" i="21"/>
  <c r="F269" i="21"/>
  <c r="D159" i="21"/>
  <c r="H159" i="21"/>
  <c r="G159" i="21"/>
  <c r="J159" i="21"/>
  <c r="E159" i="21"/>
  <c r="F159" i="21"/>
  <c r="D223" i="21"/>
  <c r="H223" i="21"/>
  <c r="J223" i="21"/>
  <c r="E223" i="21"/>
  <c r="G223" i="21"/>
  <c r="F223" i="21"/>
  <c r="D21" i="21"/>
  <c r="G21" i="21"/>
  <c r="E21" i="21"/>
  <c r="J21" i="21"/>
  <c r="H21" i="21"/>
  <c r="F21" i="21"/>
  <c r="D208" i="21"/>
  <c r="J208" i="21"/>
  <c r="F208" i="21"/>
  <c r="E208" i="21"/>
  <c r="H208" i="21"/>
  <c r="G208" i="21"/>
  <c r="D188" i="21"/>
  <c r="G188" i="21"/>
  <c r="F188" i="21"/>
  <c r="E188" i="21"/>
  <c r="H188" i="21"/>
  <c r="J188" i="21"/>
  <c r="D130" i="21"/>
  <c r="H130" i="21"/>
  <c r="J130" i="21"/>
  <c r="F130" i="21"/>
  <c r="G130" i="21"/>
  <c r="E130" i="21"/>
  <c r="D113" i="21"/>
  <c r="G113" i="21"/>
  <c r="F113" i="21"/>
  <c r="E113" i="21"/>
  <c r="J113" i="21"/>
  <c r="H113" i="21"/>
  <c r="J13" i="21"/>
  <c r="D13" i="21"/>
  <c r="F13" i="21"/>
  <c r="E13" i="21"/>
  <c r="C308" i="21"/>
  <c r="G13" i="21"/>
  <c r="H13" i="21"/>
  <c r="D20" i="21"/>
  <c r="E20" i="21"/>
  <c r="J20" i="21"/>
  <c r="H20" i="21"/>
  <c r="F20" i="21"/>
  <c r="G20" i="21"/>
  <c r="D67" i="21"/>
  <c r="H67" i="21"/>
  <c r="J67" i="21"/>
  <c r="E67" i="21"/>
  <c r="F67" i="21"/>
  <c r="G67" i="21"/>
  <c r="D64" i="21"/>
  <c r="F64" i="21"/>
  <c r="E64" i="21"/>
  <c r="G64" i="21"/>
  <c r="J64" i="21"/>
  <c r="H64" i="21"/>
  <c r="D60" i="21"/>
  <c r="J60" i="21"/>
  <c r="F60" i="21"/>
  <c r="E60" i="21"/>
  <c r="H60" i="21"/>
  <c r="G60" i="21"/>
  <c r="D142" i="21"/>
  <c r="E142" i="21"/>
  <c r="H142" i="21"/>
  <c r="F142" i="21"/>
  <c r="G142" i="21"/>
  <c r="J142" i="21"/>
  <c r="D31" i="21"/>
  <c r="G31" i="21"/>
  <c r="H31" i="21"/>
  <c r="J31" i="21"/>
  <c r="E31" i="21"/>
  <c r="F31" i="21"/>
  <c r="D53" i="21"/>
  <c r="G53" i="21"/>
  <c r="H53" i="21"/>
  <c r="F53" i="21"/>
  <c r="J53" i="21"/>
  <c r="E53" i="21"/>
  <c r="D150" i="21"/>
  <c r="G150" i="21"/>
  <c r="J150" i="21"/>
  <c r="E150" i="21"/>
  <c r="H150" i="21"/>
  <c r="F150" i="21"/>
  <c r="D180" i="21"/>
  <c r="F180" i="21"/>
  <c r="J180" i="21"/>
  <c r="G180" i="21"/>
  <c r="H180" i="21"/>
  <c r="E180" i="21"/>
  <c r="D293" i="21"/>
  <c r="E293" i="21"/>
  <c r="F293" i="21"/>
  <c r="H293" i="21"/>
  <c r="G293" i="21"/>
  <c r="J293" i="21"/>
  <c r="D248" i="21"/>
  <c r="E248" i="21"/>
  <c r="J248" i="21"/>
  <c r="F248" i="21"/>
  <c r="H248" i="21"/>
  <c r="G248" i="21"/>
  <c r="D209" i="21"/>
  <c r="F209" i="21"/>
  <c r="H209" i="21"/>
  <c r="E209" i="21"/>
  <c r="J209" i="21"/>
  <c r="G209" i="21"/>
  <c r="D89" i="21"/>
  <c r="E89" i="21"/>
  <c r="F89" i="21"/>
  <c r="H89" i="21"/>
  <c r="J89" i="21"/>
  <c r="G89" i="21"/>
  <c r="D179" i="21"/>
  <c r="G179" i="21"/>
  <c r="J179" i="21"/>
  <c r="H179" i="21"/>
  <c r="E179" i="21"/>
  <c r="F179" i="21"/>
  <c r="D245" i="21"/>
  <c r="G245" i="21"/>
  <c r="E245" i="21"/>
  <c r="F245" i="21"/>
  <c r="J245" i="21"/>
  <c r="H245" i="21"/>
  <c r="D124" i="21"/>
  <c r="F124" i="21"/>
  <c r="G124" i="21"/>
  <c r="J124" i="21"/>
  <c r="E124" i="21"/>
  <c r="H124" i="21"/>
  <c r="D262" i="21"/>
  <c r="J262" i="21"/>
  <c r="G262" i="21"/>
  <c r="E262" i="21"/>
  <c r="F262" i="21"/>
  <c r="H262" i="21"/>
  <c r="D220" i="21"/>
  <c r="H220" i="21"/>
  <c r="G220" i="21"/>
  <c r="J220" i="21"/>
  <c r="F220" i="21"/>
  <c r="E220" i="21"/>
  <c r="D282" i="21"/>
  <c r="E282" i="21"/>
  <c r="G282" i="21"/>
  <c r="J282" i="21"/>
  <c r="H282" i="21"/>
  <c r="F282" i="21"/>
  <c r="D274" i="21"/>
  <c r="G274" i="21"/>
  <c r="E274" i="21"/>
  <c r="J274" i="21"/>
  <c r="H274" i="21"/>
  <c r="F274" i="21"/>
  <c r="D109" i="21"/>
  <c r="H109" i="21"/>
  <c r="E109" i="21"/>
  <c r="G109" i="21"/>
  <c r="F109" i="21"/>
  <c r="J109" i="21"/>
  <c r="D70" i="21"/>
  <c r="H70" i="21"/>
  <c r="J70" i="21"/>
  <c r="G70" i="21"/>
  <c r="E70" i="21"/>
  <c r="F70" i="21"/>
  <c r="D148" i="21"/>
  <c r="H148" i="21"/>
  <c r="J148" i="21"/>
  <c r="E148" i="21"/>
  <c r="F148" i="21"/>
  <c r="G148" i="21"/>
  <c r="D138" i="21"/>
  <c r="H138" i="21"/>
  <c r="E138" i="21"/>
  <c r="G138" i="21"/>
  <c r="F138" i="21"/>
  <c r="J138" i="21"/>
  <c r="D36" i="21"/>
  <c r="G36" i="21"/>
  <c r="F36" i="21"/>
  <c r="H36" i="21"/>
  <c r="E36" i="21"/>
  <c r="J36" i="21"/>
  <c r="D215" i="21"/>
  <c r="E215" i="21"/>
  <c r="J215" i="21"/>
  <c r="G215" i="21"/>
  <c r="F215" i="21"/>
  <c r="H215" i="21"/>
  <c r="D175" i="21"/>
  <c r="F175" i="21"/>
  <c r="J175" i="21"/>
  <c r="G175" i="21"/>
  <c r="H175" i="21"/>
  <c r="E175" i="21"/>
  <c r="D81" i="21"/>
  <c r="E81" i="21"/>
  <c r="G81" i="21"/>
  <c r="H81" i="21"/>
  <c r="J81" i="21"/>
  <c r="F81" i="21"/>
  <c r="D162" i="21"/>
  <c r="J162" i="21"/>
  <c r="G162" i="21"/>
  <c r="F162" i="21"/>
  <c r="H162" i="21"/>
  <c r="E162" i="21"/>
  <c r="D281" i="21"/>
  <c r="E281" i="21"/>
  <c r="F281" i="21"/>
  <c r="G281" i="21"/>
  <c r="H281" i="21"/>
  <c r="J281" i="21"/>
  <c r="D199" i="21"/>
  <c r="H199" i="21"/>
  <c r="E199" i="21"/>
  <c r="F199" i="21"/>
  <c r="J199" i="21"/>
  <c r="G199" i="21"/>
  <c r="D242" i="21"/>
  <c r="H242" i="21"/>
  <c r="G242" i="21"/>
  <c r="J242" i="21"/>
  <c r="E242" i="21"/>
  <c r="F242" i="21"/>
  <c r="D197" i="21"/>
  <c r="E197" i="21"/>
  <c r="F197" i="21"/>
  <c r="G197" i="21"/>
  <c r="J197" i="21"/>
  <c r="H197" i="21"/>
  <c r="D304" i="21"/>
  <c r="J304" i="21"/>
  <c r="E304" i="21"/>
  <c r="H304" i="21"/>
  <c r="G304" i="21"/>
  <c r="F304" i="21"/>
  <c r="D92" i="21"/>
  <c r="G92" i="21"/>
  <c r="J92" i="21"/>
  <c r="H92" i="21"/>
  <c r="F92" i="21"/>
  <c r="E92" i="21"/>
  <c r="D187" i="21"/>
  <c r="J187" i="21"/>
  <c r="F187" i="21"/>
  <c r="E187" i="21"/>
  <c r="H187" i="21"/>
  <c r="G187" i="21"/>
  <c r="D176" i="21"/>
  <c r="G176" i="21"/>
  <c r="E176" i="21"/>
  <c r="J176" i="21"/>
  <c r="F176" i="21"/>
  <c r="H176" i="21"/>
  <c r="D41" i="21"/>
  <c r="G41" i="21"/>
  <c r="J41" i="21"/>
  <c r="E41" i="21"/>
  <c r="H41" i="21"/>
  <c r="F41" i="21"/>
  <c r="D252" i="21"/>
  <c r="E252" i="21"/>
  <c r="G252" i="21"/>
  <c r="J252" i="21"/>
  <c r="H252" i="21"/>
  <c r="F252" i="21"/>
  <c r="C308" i="9"/>
  <c r="D283" i="21"/>
  <c r="G283" i="21"/>
  <c r="H283" i="21"/>
  <c r="J283" i="21"/>
  <c r="E283" i="21"/>
  <c r="F283" i="21"/>
  <c r="D43" i="21"/>
  <c r="G43" i="21"/>
  <c r="F43" i="21"/>
  <c r="E43" i="21"/>
  <c r="H43" i="21"/>
  <c r="J43" i="21"/>
  <c r="D48" i="21"/>
  <c r="F48" i="21"/>
  <c r="G48" i="21"/>
  <c r="E48" i="21"/>
  <c r="H48" i="21"/>
  <c r="J48" i="21"/>
  <c r="D114" i="21"/>
  <c r="J114" i="21"/>
  <c r="E114" i="21"/>
  <c r="G114" i="21"/>
  <c r="F114" i="21"/>
  <c r="H114" i="21"/>
  <c r="D133" i="21"/>
  <c r="E133" i="21"/>
  <c r="G133" i="21"/>
  <c r="F133" i="21"/>
  <c r="J133" i="21"/>
  <c r="H133" i="21"/>
  <c r="D115" i="21"/>
  <c r="G115" i="21"/>
  <c r="E115" i="21"/>
  <c r="J115" i="21"/>
  <c r="H115" i="21"/>
  <c r="F115" i="21"/>
  <c r="D174" i="21"/>
  <c r="G174" i="21"/>
  <c r="E174" i="21"/>
  <c r="F174" i="21"/>
  <c r="H174" i="21"/>
  <c r="J174" i="21"/>
  <c r="D51" i="21"/>
  <c r="F51" i="21"/>
  <c r="J51" i="21"/>
  <c r="H51" i="21"/>
  <c r="G51" i="21"/>
  <c r="E51" i="21"/>
  <c r="D253" i="21"/>
  <c r="E253" i="21"/>
  <c r="S8" i="45" s="1"/>
  <c r="F253" i="21"/>
  <c r="S9" i="45" s="1"/>
  <c r="J253" i="21"/>
  <c r="S13" i="45" s="1"/>
  <c r="G253" i="21"/>
  <c r="S10" i="45" s="1"/>
  <c r="H253" i="21"/>
  <c r="S11" i="45" s="1"/>
  <c r="D285" i="21"/>
  <c r="G285" i="21"/>
  <c r="F285" i="21"/>
  <c r="J285" i="21"/>
  <c r="E285" i="21"/>
  <c r="H285" i="21"/>
  <c r="D227" i="21"/>
  <c r="G227" i="21"/>
  <c r="E227" i="21"/>
  <c r="H227" i="21"/>
  <c r="J227" i="21"/>
  <c r="F227" i="21"/>
  <c r="D98" i="21"/>
  <c r="G98" i="21"/>
  <c r="E98" i="21"/>
  <c r="H98" i="21"/>
  <c r="J98" i="21"/>
  <c r="F98" i="21"/>
  <c r="D136" i="21"/>
  <c r="H136" i="21"/>
  <c r="F136" i="21"/>
  <c r="E136" i="21"/>
  <c r="J136" i="21"/>
  <c r="G136" i="21"/>
  <c r="D99" i="21"/>
  <c r="F99" i="21"/>
  <c r="H99" i="21"/>
  <c r="J99" i="21"/>
  <c r="G99" i="21"/>
  <c r="E99" i="21"/>
  <c r="D225" i="21"/>
  <c r="J225" i="21"/>
  <c r="E225" i="21"/>
  <c r="F225" i="21"/>
  <c r="H225" i="21"/>
  <c r="G225" i="21"/>
  <c r="D38" i="21"/>
  <c r="G38" i="21"/>
  <c r="J38" i="21"/>
  <c r="F38" i="21"/>
  <c r="H38" i="21"/>
  <c r="E38" i="21"/>
  <c r="D237" i="21"/>
  <c r="G237" i="21"/>
  <c r="F237" i="21"/>
  <c r="E237" i="21"/>
  <c r="H237" i="21"/>
  <c r="J237" i="21"/>
  <c r="D69" i="21"/>
  <c r="J69" i="21"/>
  <c r="H69" i="21"/>
  <c r="F69" i="21"/>
  <c r="G69" i="21"/>
  <c r="E69" i="21"/>
  <c r="D62" i="21"/>
  <c r="H62" i="21"/>
  <c r="J62" i="21"/>
  <c r="G62" i="21"/>
  <c r="F62" i="21"/>
  <c r="E62" i="21"/>
  <c r="D26" i="21"/>
  <c r="F26" i="21"/>
  <c r="G26" i="21"/>
  <c r="J26" i="21"/>
  <c r="H26" i="21"/>
  <c r="E26" i="21"/>
  <c r="D120" i="21"/>
  <c r="G120" i="21"/>
  <c r="E120" i="21"/>
  <c r="H120" i="21"/>
  <c r="J120" i="21"/>
  <c r="F120" i="21"/>
  <c r="D145" i="21"/>
  <c r="G145" i="21"/>
  <c r="H145" i="21"/>
  <c r="F145" i="21"/>
  <c r="E145" i="21"/>
  <c r="J145" i="21"/>
  <c r="D106" i="21"/>
  <c r="F106" i="21"/>
  <c r="E106" i="21"/>
  <c r="G106" i="21"/>
  <c r="H106" i="21"/>
  <c r="J106" i="21"/>
  <c r="D277" i="21"/>
  <c r="F277" i="21"/>
  <c r="H277" i="21"/>
  <c r="J277" i="21"/>
  <c r="G277" i="21"/>
  <c r="E277" i="21"/>
  <c r="D144" i="21"/>
  <c r="G144" i="21"/>
  <c r="F144" i="21"/>
  <c r="J144" i="21"/>
  <c r="H144" i="21"/>
  <c r="E144" i="21"/>
  <c r="D149" i="21"/>
  <c r="E149" i="21"/>
  <c r="H149" i="21"/>
  <c r="J149" i="21"/>
  <c r="F149" i="21"/>
  <c r="G149" i="21"/>
  <c r="D85" i="21"/>
  <c r="J85" i="21"/>
  <c r="E85" i="21"/>
  <c r="G85" i="21"/>
  <c r="H85" i="21"/>
  <c r="F85" i="21"/>
  <c r="D296" i="21"/>
  <c r="G296" i="21"/>
  <c r="J296" i="21"/>
  <c r="H296" i="21"/>
  <c r="E296" i="21"/>
  <c r="F296" i="21"/>
  <c r="D158" i="21"/>
  <c r="E158" i="21"/>
  <c r="H158" i="21"/>
  <c r="F158" i="21"/>
  <c r="J158" i="21"/>
  <c r="G158" i="21"/>
  <c r="D128" i="21"/>
  <c r="G128" i="21"/>
  <c r="F128" i="21"/>
  <c r="E128" i="21"/>
  <c r="H128" i="21"/>
  <c r="J128" i="21"/>
  <c r="D156" i="21"/>
  <c r="F156" i="21"/>
  <c r="H156" i="21"/>
  <c r="J156" i="21"/>
  <c r="G156" i="21"/>
  <c r="E156" i="21"/>
  <c r="D236" i="21"/>
  <c r="E236" i="21"/>
  <c r="J236" i="21"/>
  <c r="G236" i="21"/>
  <c r="H236" i="21"/>
  <c r="F236" i="21"/>
  <c r="D292" i="21"/>
  <c r="E292" i="21"/>
  <c r="H292" i="21"/>
  <c r="G292" i="21"/>
  <c r="F292" i="21"/>
  <c r="J292" i="21"/>
  <c r="D210" i="21"/>
  <c r="F210" i="21"/>
  <c r="J210" i="21"/>
  <c r="E210" i="21"/>
  <c r="H210" i="21"/>
  <c r="G210" i="21"/>
  <c r="D202" i="21"/>
  <c r="F202" i="21"/>
  <c r="H202" i="21"/>
  <c r="E202" i="21"/>
  <c r="J202" i="21"/>
  <c r="G202" i="21"/>
  <c r="D266" i="21"/>
  <c r="E266" i="21"/>
  <c r="H266" i="21"/>
  <c r="F266" i="21"/>
  <c r="G266" i="21"/>
  <c r="J266" i="21"/>
  <c r="D132" i="21"/>
  <c r="J132" i="21"/>
  <c r="F132" i="21"/>
  <c r="G132" i="21"/>
  <c r="E132" i="21"/>
  <c r="H132" i="21"/>
  <c r="D258" i="21"/>
  <c r="G258" i="21"/>
  <c r="F258" i="21"/>
  <c r="H258" i="21"/>
  <c r="J258" i="21"/>
  <c r="E258" i="21"/>
  <c r="D153" i="21"/>
  <c r="F153" i="21"/>
  <c r="J153" i="21"/>
  <c r="E153" i="21"/>
  <c r="H153" i="21"/>
  <c r="G153" i="21"/>
  <c r="D250" i="21"/>
  <c r="E250" i="21"/>
  <c r="H250" i="21"/>
  <c r="F250" i="21"/>
  <c r="G250" i="21"/>
  <c r="J250" i="21"/>
  <c r="D91" i="21"/>
  <c r="E91" i="21"/>
  <c r="J91" i="21"/>
  <c r="H91" i="21"/>
  <c r="G91" i="21"/>
  <c r="F91" i="21"/>
  <c r="D228" i="21"/>
  <c r="G228" i="21"/>
  <c r="H228" i="21"/>
  <c r="J228" i="21"/>
  <c r="E228" i="21"/>
  <c r="F228" i="21"/>
  <c r="D260" i="21"/>
  <c r="G260" i="21"/>
  <c r="J260" i="21"/>
  <c r="E260" i="21"/>
  <c r="F260" i="21"/>
  <c r="H260" i="21"/>
  <c r="D178" i="21"/>
  <c r="E178" i="21"/>
  <c r="F178" i="21"/>
  <c r="J178" i="21"/>
  <c r="G178" i="21"/>
  <c r="H178" i="21"/>
  <c r="D183" i="21"/>
  <c r="G183" i="21"/>
  <c r="J183" i="21"/>
  <c r="F183" i="21"/>
  <c r="H183" i="21"/>
  <c r="E183" i="21"/>
  <c r="D284" i="21"/>
  <c r="H284" i="21"/>
  <c r="J284" i="21"/>
  <c r="F284" i="21"/>
  <c r="E284" i="21"/>
  <c r="G284" i="21"/>
  <c r="D32" i="21"/>
  <c r="F32" i="21"/>
  <c r="H32" i="21"/>
  <c r="G32" i="21"/>
  <c r="J32" i="21"/>
  <c r="E32" i="21"/>
  <c r="D182" i="21"/>
  <c r="H182" i="21"/>
  <c r="J182" i="21"/>
  <c r="E182" i="21"/>
  <c r="G182" i="21"/>
  <c r="F182" i="21"/>
  <c r="D168" i="21"/>
  <c r="G168" i="21"/>
  <c r="F168" i="21"/>
  <c r="H168" i="21"/>
  <c r="J168" i="21"/>
  <c r="E168" i="21"/>
  <c r="D243" i="21"/>
  <c r="E243" i="21"/>
  <c r="F243" i="21"/>
  <c r="J243" i="21"/>
  <c r="H243" i="21"/>
  <c r="G243" i="21"/>
  <c r="D35" i="21"/>
  <c r="F35" i="21"/>
  <c r="H35" i="21"/>
  <c r="G35" i="21"/>
  <c r="J35" i="21"/>
  <c r="E35" i="21"/>
  <c r="D40" i="21"/>
  <c r="J40" i="21"/>
  <c r="E40" i="21"/>
  <c r="H40" i="21"/>
  <c r="F40" i="21"/>
  <c r="G40" i="21"/>
  <c r="D30" i="21"/>
  <c r="J30" i="21"/>
  <c r="F30" i="21"/>
  <c r="G30" i="21"/>
  <c r="H30" i="21"/>
  <c r="E30" i="21"/>
  <c r="D104" i="21"/>
  <c r="J104" i="21"/>
  <c r="E104" i="21"/>
  <c r="H104" i="21"/>
  <c r="G104" i="21"/>
  <c r="F104" i="21"/>
  <c r="D224" i="21"/>
  <c r="G224" i="21"/>
  <c r="H224" i="21"/>
  <c r="J224" i="21"/>
  <c r="F224" i="21"/>
  <c r="E224" i="21"/>
  <c r="D185" i="21"/>
  <c r="J185" i="21"/>
  <c r="F185" i="21"/>
  <c r="G185" i="21"/>
  <c r="H185" i="21"/>
  <c r="E185" i="21"/>
  <c r="D77" i="21"/>
  <c r="J77" i="21"/>
  <c r="G77" i="21"/>
  <c r="F77" i="21"/>
  <c r="H77" i="21"/>
  <c r="E77" i="21"/>
  <c r="D25" i="21"/>
  <c r="E25" i="21"/>
  <c r="J25" i="21"/>
  <c r="H25" i="21"/>
  <c r="G25" i="21"/>
  <c r="F25" i="21"/>
  <c r="D101" i="21"/>
  <c r="G101" i="21"/>
  <c r="J101" i="21"/>
  <c r="F101" i="21"/>
  <c r="E101" i="21"/>
  <c r="H101" i="21"/>
  <c r="D83" i="21"/>
  <c r="H83" i="21"/>
  <c r="J83" i="21"/>
  <c r="E83" i="21"/>
  <c r="F83" i="21"/>
  <c r="G83" i="21"/>
  <c r="D206" i="21"/>
  <c r="J206" i="21"/>
  <c r="H206" i="21"/>
  <c r="F206" i="21"/>
  <c r="G206" i="21"/>
  <c r="E206" i="21"/>
  <c r="D80" i="21"/>
  <c r="G80" i="21"/>
  <c r="E80" i="21"/>
  <c r="F80" i="21"/>
  <c r="J80" i="21"/>
  <c r="H80" i="21"/>
  <c r="D213" i="21"/>
  <c r="E213" i="21"/>
  <c r="H213" i="21"/>
  <c r="J213" i="21"/>
  <c r="G213" i="21"/>
  <c r="F213" i="21"/>
  <c r="D166" i="21"/>
  <c r="E166" i="21"/>
  <c r="G166" i="21"/>
  <c r="F166" i="21"/>
  <c r="J166" i="21"/>
  <c r="H166" i="21"/>
  <c r="D86" i="21"/>
  <c r="G86" i="21"/>
  <c r="H86" i="21"/>
  <c r="J86" i="21"/>
  <c r="E86" i="21"/>
  <c r="F86" i="21"/>
  <c r="D76" i="21"/>
  <c r="G76" i="21"/>
  <c r="F76" i="21"/>
  <c r="E76" i="21"/>
  <c r="H76" i="21"/>
  <c r="J76" i="21"/>
  <c r="D173" i="21"/>
  <c r="E173" i="21"/>
  <c r="J173" i="21"/>
  <c r="F173" i="21"/>
  <c r="H173" i="21"/>
  <c r="G173" i="21"/>
  <c r="D193" i="21"/>
  <c r="H193" i="21"/>
  <c r="J193" i="21"/>
  <c r="G193" i="21"/>
  <c r="E193" i="21"/>
  <c r="F193" i="21"/>
  <c r="D257" i="21"/>
  <c r="H257" i="21"/>
  <c r="G257" i="21"/>
  <c r="E257" i="21"/>
  <c r="J257" i="21"/>
  <c r="F257" i="21"/>
  <c r="D278" i="21"/>
  <c r="H278" i="21"/>
  <c r="G278" i="21"/>
  <c r="E278" i="21"/>
  <c r="F278" i="21"/>
  <c r="J278" i="21"/>
  <c r="D218" i="21"/>
  <c r="G218" i="21"/>
  <c r="F218" i="21"/>
  <c r="J218" i="21"/>
  <c r="H218" i="21"/>
  <c r="E218" i="21"/>
  <c r="D95" i="21"/>
  <c r="F95" i="21"/>
  <c r="G95" i="21"/>
  <c r="E95" i="21"/>
  <c r="H95" i="21"/>
  <c r="J95" i="21"/>
  <c r="D146" i="21"/>
  <c r="J146" i="21"/>
  <c r="E146" i="21"/>
  <c r="H146" i="21"/>
  <c r="G146" i="21"/>
  <c r="F146" i="21"/>
  <c r="D90" i="21"/>
  <c r="E90" i="21"/>
  <c r="H90" i="21"/>
  <c r="J90" i="21"/>
  <c r="G90" i="21"/>
  <c r="F90" i="21"/>
  <c r="D255" i="21"/>
  <c r="F255" i="21"/>
  <c r="E255" i="21"/>
  <c r="H255" i="21"/>
  <c r="G255" i="21"/>
  <c r="J255" i="21"/>
  <c r="D201" i="21"/>
  <c r="E201" i="21"/>
  <c r="H201" i="21"/>
  <c r="J201" i="21"/>
  <c r="F201" i="21"/>
  <c r="G201" i="21"/>
  <c r="D84" i="21"/>
  <c r="H84" i="21"/>
  <c r="J84" i="21"/>
  <c r="G84" i="21"/>
  <c r="E84" i="21"/>
  <c r="F84" i="21"/>
  <c r="D194" i="21"/>
  <c r="H194" i="21"/>
  <c r="G194" i="21"/>
  <c r="F194" i="21"/>
  <c r="E194" i="21"/>
  <c r="J194" i="21"/>
  <c r="D103" i="21"/>
  <c r="G103" i="21"/>
  <c r="H103" i="21"/>
  <c r="J103" i="21"/>
  <c r="E103" i="21"/>
  <c r="F103" i="21"/>
  <c r="D169" i="21"/>
  <c r="E169" i="21"/>
  <c r="J169" i="21"/>
  <c r="G169" i="21"/>
  <c r="F169" i="21"/>
  <c r="H169" i="21"/>
  <c r="D164" i="21"/>
  <c r="F164" i="21"/>
  <c r="J164" i="21"/>
  <c r="H164" i="21"/>
  <c r="G164" i="21"/>
  <c r="E164" i="21"/>
  <c r="D163" i="21"/>
  <c r="E163" i="21"/>
  <c r="F163" i="21"/>
  <c r="H163" i="21"/>
  <c r="G163" i="21"/>
  <c r="J163" i="21"/>
  <c r="D111" i="21"/>
  <c r="G111" i="21"/>
  <c r="E111" i="21"/>
  <c r="F111" i="21"/>
  <c r="H111" i="21"/>
  <c r="J111" i="21"/>
  <c r="D244" i="21"/>
  <c r="E244" i="21"/>
  <c r="F244" i="21"/>
  <c r="G244" i="21"/>
  <c r="H244" i="21"/>
  <c r="J244" i="21"/>
  <c r="L73" i="21" l="1"/>
  <c r="L244" i="21"/>
  <c r="L169" i="21"/>
  <c r="L201" i="21"/>
  <c r="L95" i="21"/>
  <c r="L233" i="21"/>
  <c r="L214" i="21"/>
  <c r="L129" i="21"/>
  <c r="L270" i="21"/>
  <c r="L18" i="21"/>
  <c r="L78" i="21"/>
  <c r="L115" i="21"/>
  <c r="L43" i="21"/>
  <c r="L269" i="21"/>
  <c r="L250" i="21"/>
  <c r="L266" i="21"/>
  <c r="L236" i="21"/>
  <c r="L296" i="21"/>
  <c r="L277" i="21"/>
  <c r="L26" i="21"/>
  <c r="L157" i="21"/>
  <c r="L203" i="21"/>
  <c r="L163" i="21"/>
  <c r="L194" i="21"/>
  <c r="L90" i="21"/>
  <c r="L191" i="21"/>
  <c r="L273" i="21"/>
  <c r="L102" i="21"/>
  <c r="L68" i="21"/>
  <c r="L15" i="21"/>
  <c r="L88" i="21"/>
  <c r="L217" i="21"/>
  <c r="L54" i="21"/>
  <c r="L185" i="21"/>
  <c r="L178" i="21"/>
  <c r="L38" i="21"/>
  <c r="L98" i="21"/>
  <c r="L130" i="21"/>
  <c r="L223" i="21"/>
  <c r="L122" i="21"/>
  <c r="L127" i="21"/>
  <c r="L107" i="21"/>
  <c r="L152" i="21"/>
  <c r="L83" i="21"/>
  <c r="L182" i="21"/>
  <c r="L166" i="21"/>
  <c r="L193" i="21"/>
  <c r="L40" i="21"/>
  <c r="L33" i="21"/>
  <c r="L231" i="21"/>
  <c r="L196" i="21"/>
  <c r="L272" i="21"/>
  <c r="L82" i="21"/>
  <c r="L241" i="21"/>
  <c r="L55" i="21"/>
  <c r="L87" i="21"/>
  <c r="L289" i="21"/>
  <c r="L263" i="21"/>
  <c r="L218" i="21"/>
  <c r="L224" i="21"/>
  <c r="L85" i="21"/>
  <c r="L106" i="21"/>
  <c r="L62" i="21"/>
  <c r="L225" i="21"/>
  <c r="L227" i="21"/>
  <c r="L290" i="21"/>
  <c r="L111" i="21"/>
  <c r="L255" i="21"/>
  <c r="L173" i="21"/>
  <c r="L51" i="21"/>
  <c r="L114" i="21"/>
  <c r="L259" i="21"/>
  <c r="L288" i="21"/>
  <c r="L200" i="21"/>
  <c r="L29" i="21"/>
  <c r="L298" i="21"/>
  <c r="L247" i="21"/>
  <c r="L170" i="21"/>
  <c r="L143" i="21"/>
  <c r="L171" i="21"/>
  <c r="L123" i="21"/>
  <c r="L299" i="21"/>
  <c r="L14" i="21"/>
  <c r="L155" i="21"/>
  <c r="L108" i="21"/>
  <c r="L251" i="21"/>
  <c r="L252" i="21"/>
  <c r="L92" i="21"/>
  <c r="L199" i="21"/>
  <c r="L175" i="21"/>
  <c r="L148" i="21"/>
  <c r="L282" i="21"/>
  <c r="L245" i="21"/>
  <c r="L248" i="21"/>
  <c r="L53" i="21"/>
  <c r="L64" i="21"/>
  <c r="L219" i="21"/>
  <c r="L265" i="21"/>
  <c r="L100" i="21"/>
  <c r="L74" i="21"/>
  <c r="L49" i="21"/>
  <c r="L189" i="21"/>
  <c r="L280" i="21"/>
  <c r="L84" i="21"/>
  <c r="L86" i="21"/>
  <c r="L77" i="21"/>
  <c r="L30" i="21"/>
  <c r="L91" i="21"/>
  <c r="L292" i="21"/>
  <c r="L144" i="21"/>
  <c r="L120" i="21"/>
  <c r="L237" i="21"/>
  <c r="L136" i="21"/>
  <c r="S7" i="45"/>
  <c r="U7" i="45" s="1"/>
  <c r="L253" i="21"/>
  <c r="L133" i="21"/>
  <c r="L283" i="21"/>
  <c r="L113" i="21"/>
  <c r="L21" i="21"/>
  <c r="L256" i="21"/>
  <c r="L226" i="21"/>
  <c r="L232" i="21"/>
  <c r="L37" i="21"/>
  <c r="L246" i="21"/>
  <c r="L161" i="21"/>
  <c r="L302" i="21"/>
  <c r="L131" i="21"/>
  <c r="L22" i="21"/>
  <c r="L116" i="21"/>
  <c r="L39" i="21"/>
  <c r="L192" i="21"/>
  <c r="L172" i="21"/>
  <c r="L110" i="21"/>
  <c r="L125" i="21"/>
  <c r="L160" i="21"/>
  <c r="L177" i="21"/>
  <c r="L71" i="21"/>
  <c r="L303" i="21"/>
  <c r="L52" i="21"/>
  <c r="L275" i="21"/>
  <c r="L97" i="21"/>
  <c r="L212" i="21"/>
  <c r="L105" i="21"/>
  <c r="L16" i="21"/>
  <c r="L66" i="21"/>
  <c r="L44" i="21"/>
  <c r="L229" i="21"/>
  <c r="L211" i="21"/>
  <c r="L235" i="21"/>
  <c r="L164" i="21"/>
  <c r="L146" i="21"/>
  <c r="L257" i="21"/>
  <c r="L206" i="21"/>
  <c r="L168" i="21"/>
  <c r="L183" i="21"/>
  <c r="L132" i="21"/>
  <c r="L158" i="21"/>
  <c r="L187" i="21"/>
  <c r="L242" i="21"/>
  <c r="L81" i="21"/>
  <c r="L138" i="21"/>
  <c r="L274" i="21"/>
  <c r="L124" i="21"/>
  <c r="L209" i="21"/>
  <c r="L150" i="21"/>
  <c r="L60" i="21"/>
  <c r="L13" i="21"/>
  <c r="L216" i="21"/>
  <c r="L276" i="21"/>
  <c r="L167" i="21"/>
  <c r="L254" i="21"/>
  <c r="L50" i="21"/>
  <c r="L261" i="21"/>
  <c r="L65" i="21"/>
  <c r="L94" i="21"/>
  <c r="L147" i="21"/>
  <c r="L195" i="21"/>
  <c r="L278" i="21"/>
  <c r="L80" i="21"/>
  <c r="L104" i="21"/>
  <c r="L243" i="21"/>
  <c r="L228" i="21"/>
  <c r="L210" i="21"/>
  <c r="L128" i="21"/>
  <c r="L149" i="21"/>
  <c r="L145" i="21"/>
  <c r="L69" i="21"/>
  <c r="L99" i="21"/>
  <c r="L285" i="21"/>
  <c r="L208" i="21"/>
  <c r="L198" i="21"/>
  <c r="L186" i="21"/>
  <c r="L151" i="21"/>
  <c r="L207" i="21"/>
  <c r="L134" i="21"/>
  <c r="L249" i="21"/>
  <c r="L205" i="21"/>
  <c r="L238" i="21"/>
  <c r="L24" i="21"/>
  <c r="L190" i="21"/>
  <c r="L76" i="21"/>
  <c r="L25" i="21"/>
  <c r="L284" i="21"/>
  <c r="L258" i="21"/>
  <c r="L176" i="21"/>
  <c r="L197" i="21"/>
  <c r="L162" i="21"/>
  <c r="L36" i="21"/>
  <c r="L109" i="21"/>
  <c r="L262" i="21"/>
  <c r="L89" i="21"/>
  <c r="L180" i="21"/>
  <c r="L142" i="21"/>
  <c r="L20" i="21"/>
  <c r="L93" i="21"/>
  <c r="L240" i="21"/>
  <c r="L204" i="21"/>
  <c r="L301" i="21"/>
  <c r="L118" i="21"/>
  <c r="L294" i="21"/>
  <c r="L184" i="21"/>
  <c r="L141" i="21"/>
  <c r="L222" i="21"/>
  <c r="L181" i="21"/>
  <c r="L112" i="21"/>
  <c r="L117" i="21"/>
  <c r="L103" i="21"/>
  <c r="L213" i="21"/>
  <c r="L32" i="21"/>
  <c r="L153" i="21"/>
  <c r="L156" i="21"/>
  <c r="L174" i="21"/>
  <c r="L48" i="21"/>
  <c r="L188" i="21"/>
  <c r="L159" i="21"/>
  <c r="L135" i="21"/>
  <c r="L268" i="21"/>
  <c r="L221" i="21"/>
  <c r="L121" i="21"/>
  <c r="L165" i="21"/>
  <c r="L307" i="21"/>
  <c r="L58" i="21"/>
  <c r="L300" i="21"/>
  <c r="L96" i="21"/>
  <c r="L119" i="21"/>
  <c r="L239" i="21"/>
  <c r="L271" i="21"/>
  <c r="L46" i="21"/>
  <c r="L291" i="21"/>
  <c r="L42" i="21"/>
  <c r="L59" i="21"/>
  <c r="L75" i="21"/>
  <c r="L79" i="21"/>
  <c r="L234" i="21"/>
  <c r="L287" i="21"/>
  <c r="L34" i="21"/>
  <c r="L154" i="21"/>
  <c r="L230" i="21"/>
  <c r="L19" i="21"/>
  <c r="L264" i="21"/>
  <c r="L305" i="21"/>
  <c r="L23" i="21"/>
  <c r="L297" i="21"/>
  <c r="L101" i="21"/>
  <c r="L35" i="21"/>
  <c r="L260" i="21"/>
  <c r="L202" i="21"/>
  <c r="L41" i="21"/>
  <c r="L304" i="21"/>
  <c r="L281" i="21"/>
  <c r="L215" i="21"/>
  <c r="L70" i="21"/>
  <c r="L220" i="21"/>
  <c r="L179" i="21"/>
  <c r="L293" i="21"/>
  <c r="L31" i="21"/>
  <c r="L67" i="21"/>
  <c r="L286" i="21"/>
  <c r="L295" i="21"/>
  <c r="L306" i="21"/>
  <c r="L137" i="21"/>
  <c r="L279" i="21"/>
  <c r="L140" i="21"/>
  <c r="L28" i="21"/>
  <c r="L126" i="21"/>
  <c r="L57" i="21"/>
  <c r="L27" i="21"/>
  <c r="T9" i="21"/>
  <c r="U9" i="21" s="1"/>
  <c r="L9" i="55" s="1"/>
  <c r="T73" i="21"/>
  <c r="U73" i="21" s="1"/>
  <c r="L73" i="55" s="1"/>
  <c r="T137" i="21"/>
  <c r="U137" i="21" s="1"/>
  <c r="L137" i="55" s="1"/>
  <c r="T201" i="21"/>
  <c r="U201" i="21" s="1"/>
  <c r="L201" i="55" s="1"/>
  <c r="T265" i="21"/>
  <c r="U265" i="21" s="1"/>
  <c r="L265" i="55" s="1"/>
  <c r="T18" i="21"/>
  <c r="U18" i="21" s="1"/>
  <c r="L18" i="55" s="1"/>
  <c r="T82" i="21"/>
  <c r="U82" i="21" s="1"/>
  <c r="L82" i="55" s="1"/>
  <c r="T146" i="21"/>
  <c r="U146" i="21" s="1"/>
  <c r="L146" i="55" s="1"/>
  <c r="T210" i="21"/>
  <c r="U210" i="21" s="1"/>
  <c r="L210" i="55" s="1"/>
  <c r="T274" i="21"/>
  <c r="T27" i="21"/>
  <c r="U27" i="21" s="1"/>
  <c r="L27" i="55" s="1"/>
  <c r="T91" i="21"/>
  <c r="U91" i="21" s="1"/>
  <c r="L91" i="55" s="1"/>
  <c r="T155" i="21"/>
  <c r="U155" i="21" s="1"/>
  <c r="L155" i="55" s="1"/>
  <c r="T219" i="21"/>
  <c r="U219" i="21" s="1"/>
  <c r="L219" i="55" s="1"/>
  <c r="T283" i="21"/>
  <c r="U283" i="21" s="1"/>
  <c r="L283" i="55" s="1"/>
  <c r="T36" i="21"/>
  <c r="U36" i="21" s="1"/>
  <c r="L36" i="55" s="1"/>
  <c r="T100" i="21"/>
  <c r="U100" i="21" s="1"/>
  <c r="L100" i="55" s="1"/>
  <c r="T164" i="21"/>
  <c r="U164" i="21" s="1"/>
  <c r="L164" i="55" s="1"/>
  <c r="T228" i="21"/>
  <c r="U228" i="21" s="1"/>
  <c r="L228" i="55" s="1"/>
  <c r="T292" i="21"/>
  <c r="U292" i="21" s="1"/>
  <c r="L292" i="55" s="1"/>
  <c r="T45" i="21"/>
  <c r="U45" i="21" s="1"/>
  <c r="L45" i="55" s="1"/>
  <c r="T109" i="21"/>
  <c r="U109" i="21" s="1"/>
  <c r="L109" i="55" s="1"/>
  <c r="T173" i="21"/>
  <c r="U173" i="21" s="1"/>
  <c r="L173" i="55" s="1"/>
  <c r="T237" i="21"/>
  <c r="U237" i="21" s="1"/>
  <c r="L237" i="55" s="1"/>
  <c r="T301" i="21"/>
  <c r="U301" i="21" s="1"/>
  <c r="L301" i="55" s="1"/>
  <c r="T22" i="21"/>
  <c r="U22" i="21" s="1"/>
  <c r="L22" i="55" s="1"/>
  <c r="T86" i="21"/>
  <c r="U86" i="21" s="1"/>
  <c r="L86" i="55" s="1"/>
  <c r="T150" i="21"/>
  <c r="U150" i="21" s="1"/>
  <c r="L150" i="55" s="1"/>
  <c r="T214" i="21"/>
  <c r="U214" i="21" s="1"/>
  <c r="L214" i="55" s="1"/>
  <c r="T278" i="21"/>
  <c r="U278" i="21" s="1"/>
  <c r="L278" i="55" s="1"/>
  <c r="T112" i="21"/>
  <c r="U112" i="21" s="1"/>
  <c r="L112" i="55" s="1"/>
  <c r="T39" i="21"/>
  <c r="U39" i="21" s="1"/>
  <c r="L39" i="55" s="1"/>
  <c r="T103" i="21"/>
  <c r="U103" i="21" s="1"/>
  <c r="L103" i="55" s="1"/>
  <c r="T167" i="21"/>
  <c r="U167" i="21" s="1"/>
  <c r="L167" i="55" s="1"/>
  <c r="T231" i="21"/>
  <c r="U231" i="21" s="1"/>
  <c r="L231" i="55" s="1"/>
  <c r="T295" i="21"/>
  <c r="U295" i="21" s="1"/>
  <c r="L295" i="55" s="1"/>
  <c r="T184" i="21"/>
  <c r="U184" i="21" s="1"/>
  <c r="L184" i="55" s="1"/>
  <c r="T232" i="21"/>
  <c r="U232" i="21" s="1"/>
  <c r="L232" i="55" s="1"/>
  <c r="T121" i="21"/>
  <c r="U121" i="21" s="1"/>
  <c r="L121" i="55" s="1"/>
  <c r="T203" i="21"/>
  <c r="U203" i="21" s="1"/>
  <c r="L203" i="55" s="1"/>
  <c r="T212" i="21"/>
  <c r="U212" i="21" s="1"/>
  <c r="L212" i="55" s="1"/>
  <c r="T152" i="21"/>
  <c r="U152" i="21" s="1"/>
  <c r="L152" i="55" s="1"/>
  <c r="T88" i="21"/>
  <c r="U88" i="21" s="1"/>
  <c r="L88" i="55" s="1"/>
  <c r="T208" i="21"/>
  <c r="U208" i="21" s="1"/>
  <c r="L208" i="55" s="1"/>
  <c r="T193" i="21"/>
  <c r="U193" i="21" s="1"/>
  <c r="L193" i="55" s="1"/>
  <c r="T138" i="21"/>
  <c r="U138" i="21" s="1"/>
  <c r="L138" i="55" s="1"/>
  <c r="T19" i="21"/>
  <c r="U19" i="21" s="1"/>
  <c r="L19" i="55" s="1"/>
  <c r="T147" i="21"/>
  <c r="U147" i="21" s="1"/>
  <c r="L147" i="55" s="1"/>
  <c r="T92" i="21"/>
  <c r="U92" i="21" s="1"/>
  <c r="L92" i="55" s="1"/>
  <c r="T284" i="21"/>
  <c r="U284" i="21" s="1"/>
  <c r="L284" i="55" s="1"/>
  <c r="T229" i="21"/>
  <c r="U229" i="21" s="1"/>
  <c r="L229" i="55" s="1"/>
  <c r="T142" i="21"/>
  <c r="U142" i="21" s="1"/>
  <c r="L142" i="55" s="1"/>
  <c r="T31" i="21"/>
  <c r="U31" i="21" s="1"/>
  <c r="L31" i="55" s="1"/>
  <c r="T288" i="21"/>
  <c r="U288" i="21" s="1"/>
  <c r="L288" i="55" s="1"/>
  <c r="T17" i="21"/>
  <c r="U17" i="21" s="1"/>
  <c r="L17" i="55" s="1"/>
  <c r="T81" i="21"/>
  <c r="U81" i="21" s="1"/>
  <c r="L81" i="55" s="1"/>
  <c r="T145" i="21"/>
  <c r="U145" i="21" s="1"/>
  <c r="L145" i="55" s="1"/>
  <c r="T209" i="21"/>
  <c r="U209" i="21" s="1"/>
  <c r="L209" i="55" s="1"/>
  <c r="T273" i="21"/>
  <c r="U273" i="21" s="1"/>
  <c r="L273" i="55" s="1"/>
  <c r="T26" i="21"/>
  <c r="U26" i="21" s="1"/>
  <c r="L26" i="55" s="1"/>
  <c r="T90" i="21"/>
  <c r="U90" i="21" s="1"/>
  <c r="L90" i="55" s="1"/>
  <c r="T154" i="21"/>
  <c r="U154" i="21" s="1"/>
  <c r="L154" i="55" s="1"/>
  <c r="T218" i="21"/>
  <c r="U218" i="21" s="1"/>
  <c r="L218" i="55" s="1"/>
  <c r="T282" i="21"/>
  <c r="U282" i="21" s="1"/>
  <c r="L282" i="55" s="1"/>
  <c r="T35" i="21"/>
  <c r="U35" i="21" s="1"/>
  <c r="L35" i="55" s="1"/>
  <c r="T99" i="21"/>
  <c r="U99" i="21" s="1"/>
  <c r="L99" i="55" s="1"/>
  <c r="T163" i="21"/>
  <c r="U163" i="21" s="1"/>
  <c r="L163" i="55" s="1"/>
  <c r="T227" i="21"/>
  <c r="U227" i="21" s="1"/>
  <c r="L227" i="55" s="1"/>
  <c r="T291" i="21"/>
  <c r="U291" i="21" s="1"/>
  <c r="L291" i="55" s="1"/>
  <c r="T44" i="21"/>
  <c r="U44" i="21" s="1"/>
  <c r="L44" i="55" s="1"/>
  <c r="T108" i="21"/>
  <c r="U108" i="21" s="1"/>
  <c r="L108" i="55" s="1"/>
  <c r="T172" i="21"/>
  <c r="U172" i="21" s="1"/>
  <c r="L172" i="55" s="1"/>
  <c r="T236" i="21"/>
  <c r="U236" i="21" s="1"/>
  <c r="L236" i="55" s="1"/>
  <c r="T300" i="21"/>
  <c r="U300" i="21" s="1"/>
  <c r="L300" i="55" s="1"/>
  <c r="T53" i="21"/>
  <c r="U53" i="21" s="1"/>
  <c r="L53" i="55" s="1"/>
  <c r="T117" i="21"/>
  <c r="U117" i="21" s="1"/>
  <c r="L117" i="55" s="1"/>
  <c r="T181" i="21"/>
  <c r="U181" i="21" s="1"/>
  <c r="L181" i="55" s="1"/>
  <c r="T245" i="21"/>
  <c r="U245" i="21" s="1"/>
  <c r="L245" i="55" s="1"/>
  <c r="T32" i="21"/>
  <c r="U32" i="21" s="1"/>
  <c r="L32" i="55" s="1"/>
  <c r="T30" i="21"/>
  <c r="U30" i="21" s="1"/>
  <c r="L30" i="55" s="1"/>
  <c r="T94" i="21"/>
  <c r="U94" i="21" s="1"/>
  <c r="L94" i="55" s="1"/>
  <c r="T158" i="21"/>
  <c r="U158" i="21" s="1"/>
  <c r="L158" i="55" s="1"/>
  <c r="T222" i="21"/>
  <c r="U222" i="21" s="1"/>
  <c r="L222" i="55" s="1"/>
  <c r="T286" i="21"/>
  <c r="U286" i="21" s="1"/>
  <c r="L286" i="55" s="1"/>
  <c r="T128" i="21"/>
  <c r="U128" i="21" s="1"/>
  <c r="L128" i="55" s="1"/>
  <c r="T47" i="21"/>
  <c r="U47" i="21" s="1"/>
  <c r="L47" i="55" s="1"/>
  <c r="T111" i="21"/>
  <c r="U111" i="21" s="1"/>
  <c r="L111" i="55" s="1"/>
  <c r="T175" i="21"/>
  <c r="U175" i="21" s="1"/>
  <c r="L175" i="55" s="1"/>
  <c r="T239" i="21"/>
  <c r="U239" i="21" s="1"/>
  <c r="L239" i="55" s="1"/>
  <c r="T303" i="21"/>
  <c r="U303" i="21" s="1"/>
  <c r="L303" i="55" s="1"/>
  <c r="T248" i="21"/>
  <c r="U248" i="21" s="1"/>
  <c r="L248" i="55" s="1"/>
  <c r="T200" i="21"/>
  <c r="U200" i="21" s="1"/>
  <c r="L200" i="55" s="1"/>
  <c r="T249" i="21"/>
  <c r="U249" i="21" s="1"/>
  <c r="L249" i="55" s="1"/>
  <c r="T130" i="21"/>
  <c r="U130" i="21" s="1"/>
  <c r="L130" i="55" s="1"/>
  <c r="T258" i="21"/>
  <c r="U258" i="21" s="1"/>
  <c r="L258" i="55" s="1"/>
  <c r="T75" i="21"/>
  <c r="U75" i="21" s="1"/>
  <c r="L75" i="55" s="1"/>
  <c r="T20" i="21"/>
  <c r="U20" i="21" s="1"/>
  <c r="L20" i="55" s="1"/>
  <c r="T148" i="21"/>
  <c r="U148" i="21" s="1"/>
  <c r="L148" i="55" s="1"/>
  <c r="T221" i="21"/>
  <c r="U221" i="21" s="1"/>
  <c r="L221" i="55" s="1"/>
  <c r="T134" i="21"/>
  <c r="U134" i="21" s="1"/>
  <c r="L134" i="55" s="1"/>
  <c r="T262" i="21"/>
  <c r="U262" i="21" s="1"/>
  <c r="L262" i="55" s="1"/>
  <c r="T279" i="21"/>
  <c r="U279" i="21" s="1"/>
  <c r="L279" i="55" s="1"/>
  <c r="T74" i="21"/>
  <c r="U74" i="21" s="1"/>
  <c r="L74" i="55" s="1"/>
  <c r="T78" i="21"/>
  <c r="U78" i="21" s="1"/>
  <c r="L78" i="55" s="1"/>
  <c r="T287" i="21"/>
  <c r="U287" i="21" s="1"/>
  <c r="L287" i="55" s="1"/>
  <c r="T25" i="21"/>
  <c r="U25" i="21" s="1"/>
  <c r="L25" i="55" s="1"/>
  <c r="T89" i="21"/>
  <c r="U89" i="21" s="1"/>
  <c r="L89" i="55" s="1"/>
  <c r="T153" i="21"/>
  <c r="U153" i="21" s="1"/>
  <c r="L153" i="55" s="1"/>
  <c r="T217" i="21"/>
  <c r="U217" i="21" s="1"/>
  <c r="L217" i="55" s="1"/>
  <c r="T281" i="21"/>
  <c r="U281" i="21" s="1"/>
  <c r="L281" i="55" s="1"/>
  <c r="T34" i="21"/>
  <c r="U34" i="21" s="1"/>
  <c r="L34" i="55" s="1"/>
  <c r="T98" i="21"/>
  <c r="U98" i="21" s="1"/>
  <c r="L98" i="55" s="1"/>
  <c r="T162" i="21"/>
  <c r="U162" i="21" s="1"/>
  <c r="L162" i="55" s="1"/>
  <c r="T226" i="21"/>
  <c r="U226" i="21" s="1"/>
  <c r="L226" i="55" s="1"/>
  <c r="T290" i="21"/>
  <c r="U290" i="21" s="1"/>
  <c r="L290" i="55" s="1"/>
  <c r="T43" i="21"/>
  <c r="U43" i="21" s="1"/>
  <c r="L43" i="55" s="1"/>
  <c r="T107" i="21"/>
  <c r="U107" i="21" s="1"/>
  <c r="L107" i="55" s="1"/>
  <c r="T171" i="21"/>
  <c r="U171" i="21" s="1"/>
  <c r="L171" i="55" s="1"/>
  <c r="T235" i="21"/>
  <c r="U235" i="21" s="1"/>
  <c r="L235" i="55" s="1"/>
  <c r="T299" i="21"/>
  <c r="U299" i="21" s="1"/>
  <c r="L299" i="55" s="1"/>
  <c r="T52" i="21"/>
  <c r="U52" i="21" s="1"/>
  <c r="L52" i="55" s="1"/>
  <c r="T116" i="21"/>
  <c r="U116" i="21" s="1"/>
  <c r="L116" i="55" s="1"/>
  <c r="T180" i="21"/>
  <c r="U180" i="21" s="1"/>
  <c r="L180" i="55" s="1"/>
  <c r="T244" i="21"/>
  <c r="U244" i="21" s="1"/>
  <c r="L244" i="55" s="1"/>
  <c r="T8" i="21"/>
  <c r="T61" i="21"/>
  <c r="U61" i="21" s="1"/>
  <c r="L61" i="55" s="1"/>
  <c r="T125" i="21"/>
  <c r="U125" i="21" s="1"/>
  <c r="L125" i="55" s="1"/>
  <c r="T189" i="21"/>
  <c r="U189" i="21" s="1"/>
  <c r="L189" i="55" s="1"/>
  <c r="T253" i="21"/>
  <c r="U253" i="21" s="1"/>
  <c r="L253" i="55" s="1"/>
  <c r="T80" i="21"/>
  <c r="U80" i="21" s="1"/>
  <c r="L80" i="55" s="1"/>
  <c r="T38" i="21"/>
  <c r="U38" i="21" s="1"/>
  <c r="L38" i="55" s="1"/>
  <c r="T102" i="21"/>
  <c r="U102" i="21" s="1"/>
  <c r="L102" i="55" s="1"/>
  <c r="T166" i="21"/>
  <c r="U166" i="21" s="1"/>
  <c r="L166" i="55" s="1"/>
  <c r="T230" i="21"/>
  <c r="U230" i="21" s="1"/>
  <c r="L230" i="55" s="1"/>
  <c r="T294" i="21"/>
  <c r="U294" i="21" s="1"/>
  <c r="L294" i="55" s="1"/>
  <c r="T144" i="21"/>
  <c r="U144" i="21" s="1"/>
  <c r="L144" i="55" s="1"/>
  <c r="T55" i="21"/>
  <c r="U55" i="21" s="1"/>
  <c r="L55" i="55" s="1"/>
  <c r="T119" i="21"/>
  <c r="U119" i="21" s="1"/>
  <c r="L119" i="55" s="1"/>
  <c r="T183" i="21"/>
  <c r="U183" i="21" s="1"/>
  <c r="L183" i="55" s="1"/>
  <c r="T247" i="21"/>
  <c r="U247" i="21" s="1"/>
  <c r="L247" i="55" s="1"/>
  <c r="T48" i="21"/>
  <c r="U48" i="21" s="1"/>
  <c r="L48" i="55" s="1"/>
  <c r="T224" i="21"/>
  <c r="U224" i="21" s="1"/>
  <c r="L224" i="55" s="1"/>
  <c r="T264" i="21"/>
  <c r="U264" i="21" s="1"/>
  <c r="L264" i="55" s="1"/>
  <c r="T40" i="21"/>
  <c r="U40" i="21" s="1"/>
  <c r="L40" i="55" s="1"/>
  <c r="T267" i="21"/>
  <c r="U267" i="21" s="1"/>
  <c r="L267" i="55" s="1"/>
  <c r="T29" i="21"/>
  <c r="U29" i="21" s="1"/>
  <c r="L29" i="55" s="1"/>
  <c r="T70" i="21"/>
  <c r="U70" i="21" s="1"/>
  <c r="L70" i="55" s="1"/>
  <c r="T23" i="21"/>
  <c r="U23" i="21" s="1"/>
  <c r="L23" i="55" s="1"/>
  <c r="T272" i="21"/>
  <c r="U272" i="21" s="1"/>
  <c r="L272" i="55" s="1"/>
  <c r="T129" i="21"/>
  <c r="U129" i="21" s="1"/>
  <c r="L129" i="55" s="1"/>
  <c r="T202" i="21"/>
  <c r="U202" i="21" s="1"/>
  <c r="L202" i="55" s="1"/>
  <c r="T83" i="21"/>
  <c r="U83" i="21" s="1"/>
  <c r="L83" i="55" s="1"/>
  <c r="T211" i="21"/>
  <c r="U211" i="21" s="1"/>
  <c r="L211" i="55" s="1"/>
  <c r="T156" i="21"/>
  <c r="U156" i="21" s="1"/>
  <c r="L156" i="55" s="1"/>
  <c r="T101" i="21"/>
  <c r="U101" i="21" s="1"/>
  <c r="L101" i="55" s="1"/>
  <c r="T293" i="21"/>
  <c r="U293" i="21" s="1"/>
  <c r="L293" i="55" s="1"/>
  <c r="T96" i="21"/>
  <c r="U96" i="21" s="1"/>
  <c r="L96" i="55" s="1"/>
  <c r="T223" i="21"/>
  <c r="U223" i="21" s="1"/>
  <c r="L223" i="55" s="1"/>
  <c r="T33" i="21"/>
  <c r="U33" i="21" s="1"/>
  <c r="L33" i="55" s="1"/>
  <c r="T97" i="21"/>
  <c r="U97" i="21" s="1"/>
  <c r="L97" i="55" s="1"/>
  <c r="T161" i="21"/>
  <c r="U161" i="21" s="1"/>
  <c r="L161" i="55" s="1"/>
  <c r="T225" i="21"/>
  <c r="U225" i="21" s="1"/>
  <c r="L225" i="55" s="1"/>
  <c r="T289" i="21"/>
  <c r="U289" i="21" s="1"/>
  <c r="L289" i="55" s="1"/>
  <c r="T42" i="21"/>
  <c r="U42" i="21" s="1"/>
  <c r="L42" i="55" s="1"/>
  <c r="T106" i="21"/>
  <c r="U106" i="21" s="1"/>
  <c r="L106" i="55" s="1"/>
  <c r="T170" i="21"/>
  <c r="U170" i="21" s="1"/>
  <c r="L170" i="55" s="1"/>
  <c r="T234" i="21"/>
  <c r="U234" i="21" s="1"/>
  <c r="L234" i="55" s="1"/>
  <c r="T298" i="21"/>
  <c r="U298" i="21" s="1"/>
  <c r="L298" i="55" s="1"/>
  <c r="T51" i="21"/>
  <c r="U51" i="21" s="1"/>
  <c r="L51" i="55" s="1"/>
  <c r="T115" i="21"/>
  <c r="U115" i="21" s="1"/>
  <c r="L115" i="55" s="1"/>
  <c r="T179" i="21"/>
  <c r="U179" i="21" s="1"/>
  <c r="L179" i="55" s="1"/>
  <c r="T243" i="21"/>
  <c r="U243" i="21" s="1"/>
  <c r="L243" i="55" s="1"/>
  <c r="T307" i="21"/>
  <c r="U307" i="21" s="1"/>
  <c r="L307" i="55" s="1"/>
  <c r="T60" i="21"/>
  <c r="U60" i="21" s="1"/>
  <c r="L60" i="55" s="1"/>
  <c r="T124" i="21"/>
  <c r="U124" i="21" s="1"/>
  <c r="L124" i="55" s="1"/>
  <c r="T188" i="21"/>
  <c r="U188" i="21" s="1"/>
  <c r="L188" i="55" s="1"/>
  <c r="T252" i="21"/>
  <c r="U252" i="21" s="1"/>
  <c r="L252" i="55" s="1"/>
  <c r="T16" i="21"/>
  <c r="U16" i="21" s="1"/>
  <c r="L16" i="55" s="1"/>
  <c r="T69" i="21"/>
  <c r="U69" i="21" s="1"/>
  <c r="L69" i="55" s="1"/>
  <c r="T133" i="21"/>
  <c r="U133" i="21" s="1"/>
  <c r="L133" i="55" s="1"/>
  <c r="T197" i="21"/>
  <c r="U197" i="21" s="1"/>
  <c r="L197" i="55" s="1"/>
  <c r="T261" i="21"/>
  <c r="U261" i="21" s="1"/>
  <c r="L261" i="55" s="1"/>
  <c r="T104" i="21"/>
  <c r="U104" i="21" s="1"/>
  <c r="L104" i="55" s="1"/>
  <c r="T46" i="21"/>
  <c r="U46" i="21" s="1"/>
  <c r="L46" i="55" s="1"/>
  <c r="T110" i="21"/>
  <c r="U110" i="21" s="1"/>
  <c r="L110" i="55" s="1"/>
  <c r="T174" i="21"/>
  <c r="U174" i="21" s="1"/>
  <c r="L174" i="55" s="1"/>
  <c r="T238" i="21"/>
  <c r="U238" i="21" s="1"/>
  <c r="L238" i="55" s="1"/>
  <c r="T302" i="21"/>
  <c r="U302" i="21" s="1"/>
  <c r="L302" i="55" s="1"/>
  <c r="T160" i="21"/>
  <c r="U160" i="21" s="1"/>
  <c r="L160" i="55" s="1"/>
  <c r="T63" i="21"/>
  <c r="U63" i="21" s="1"/>
  <c r="L63" i="55" s="1"/>
  <c r="T127" i="21"/>
  <c r="U127" i="21" s="1"/>
  <c r="L127" i="55" s="1"/>
  <c r="T191" i="21"/>
  <c r="U191" i="21" s="1"/>
  <c r="L191" i="55" s="1"/>
  <c r="T255" i="21"/>
  <c r="U255" i="21" s="1"/>
  <c r="L255" i="55" s="1"/>
  <c r="T168" i="21"/>
  <c r="U168" i="21" s="1"/>
  <c r="L168" i="55" s="1"/>
  <c r="T296" i="21"/>
  <c r="U296" i="21" s="1"/>
  <c r="L296" i="55" s="1"/>
  <c r="T216" i="21"/>
  <c r="U216" i="21" s="1"/>
  <c r="L216" i="55" s="1"/>
  <c r="T57" i="21"/>
  <c r="U57" i="21" s="1"/>
  <c r="L57" i="55" s="1"/>
  <c r="T194" i="21"/>
  <c r="U194" i="21" s="1"/>
  <c r="L194" i="55" s="1"/>
  <c r="T11" i="21"/>
  <c r="U11" i="21" s="1"/>
  <c r="L11" i="55" s="1"/>
  <c r="T139" i="21"/>
  <c r="U139" i="21" s="1"/>
  <c r="L139" i="55" s="1"/>
  <c r="T84" i="21"/>
  <c r="U84" i="21" s="1"/>
  <c r="L84" i="55" s="1"/>
  <c r="T276" i="21"/>
  <c r="U276" i="21" s="1"/>
  <c r="L276" i="55" s="1"/>
  <c r="T285" i="21"/>
  <c r="U285" i="21" s="1"/>
  <c r="L285" i="55" s="1"/>
  <c r="T198" i="21"/>
  <c r="U198" i="21" s="1"/>
  <c r="L198" i="55" s="1"/>
  <c r="T215" i="21"/>
  <c r="U215" i="21" s="1"/>
  <c r="L215" i="55" s="1"/>
  <c r="T65" i="21"/>
  <c r="U65" i="21" s="1"/>
  <c r="L65" i="55" s="1"/>
  <c r="T266" i="21"/>
  <c r="U266" i="21" s="1"/>
  <c r="L266" i="55" s="1"/>
  <c r="T275" i="21"/>
  <c r="U275" i="21" s="1"/>
  <c r="L275" i="55" s="1"/>
  <c r="T37" i="21"/>
  <c r="U37" i="21" s="1"/>
  <c r="L37" i="55" s="1"/>
  <c r="T14" i="21"/>
  <c r="U14" i="21" s="1"/>
  <c r="L14" i="55" s="1"/>
  <c r="T95" i="21"/>
  <c r="U95" i="21" s="1"/>
  <c r="L95" i="55" s="1"/>
  <c r="T41" i="21"/>
  <c r="U41" i="21" s="1"/>
  <c r="L41" i="55" s="1"/>
  <c r="T105" i="21"/>
  <c r="U105" i="21" s="1"/>
  <c r="L105" i="55" s="1"/>
  <c r="T169" i="21"/>
  <c r="U169" i="21" s="1"/>
  <c r="L169" i="55" s="1"/>
  <c r="T233" i="21"/>
  <c r="U233" i="21" s="1"/>
  <c r="L233" i="55" s="1"/>
  <c r="T297" i="21"/>
  <c r="U297" i="21" s="1"/>
  <c r="L297" i="55" s="1"/>
  <c r="T50" i="21"/>
  <c r="U50" i="21" s="1"/>
  <c r="L50" i="55" s="1"/>
  <c r="T114" i="21"/>
  <c r="U114" i="21" s="1"/>
  <c r="L114" i="55" s="1"/>
  <c r="T178" i="21"/>
  <c r="U178" i="21" s="1"/>
  <c r="L178" i="55" s="1"/>
  <c r="T242" i="21"/>
  <c r="U242" i="21" s="1"/>
  <c r="L242" i="55" s="1"/>
  <c r="T306" i="21"/>
  <c r="U306" i="21" s="1"/>
  <c r="L306" i="55" s="1"/>
  <c r="T59" i="21"/>
  <c r="U59" i="21" s="1"/>
  <c r="L59" i="55" s="1"/>
  <c r="T123" i="21"/>
  <c r="U123" i="21" s="1"/>
  <c r="L123" i="55" s="1"/>
  <c r="T187" i="21"/>
  <c r="U187" i="21" s="1"/>
  <c r="L187" i="55" s="1"/>
  <c r="T251" i="21"/>
  <c r="U251" i="21" s="1"/>
  <c r="L251" i="55" s="1"/>
  <c r="T24" i="21"/>
  <c r="U24" i="21" s="1"/>
  <c r="L24" i="55" s="1"/>
  <c r="T68" i="21"/>
  <c r="U68" i="21" s="1"/>
  <c r="L68" i="55" s="1"/>
  <c r="T132" i="21"/>
  <c r="U132" i="21" s="1"/>
  <c r="L132" i="55" s="1"/>
  <c r="T196" i="21"/>
  <c r="U196" i="21" s="1"/>
  <c r="L196" i="55" s="1"/>
  <c r="T260" i="21"/>
  <c r="U260" i="21" s="1"/>
  <c r="L260" i="55" s="1"/>
  <c r="T13" i="21"/>
  <c r="U13" i="21" s="1"/>
  <c r="L13" i="55" s="1"/>
  <c r="T77" i="21"/>
  <c r="U77" i="21" s="1"/>
  <c r="L77" i="55" s="1"/>
  <c r="T141" i="21"/>
  <c r="U141" i="21" s="1"/>
  <c r="L141" i="55" s="1"/>
  <c r="T205" i="21"/>
  <c r="U205" i="21" s="1"/>
  <c r="L205" i="55" s="1"/>
  <c r="T269" i="21"/>
  <c r="U269" i="21" s="1"/>
  <c r="L269" i="55" s="1"/>
  <c r="T120" i="21"/>
  <c r="U120" i="21" s="1"/>
  <c r="L120" i="55" s="1"/>
  <c r="T54" i="21"/>
  <c r="U54" i="21" s="1"/>
  <c r="L54" i="55" s="1"/>
  <c r="T118" i="21"/>
  <c r="U118" i="21" s="1"/>
  <c r="L118" i="55" s="1"/>
  <c r="E17" i="57" s="1"/>
  <c r="T182" i="21"/>
  <c r="U182" i="21" s="1"/>
  <c r="L182" i="55" s="1"/>
  <c r="T246" i="21"/>
  <c r="U246" i="21" s="1"/>
  <c r="L246" i="55" s="1"/>
  <c r="T64" i="21"/>
  <c r="U64" i="21" s="1"/>
  <c r="L64" i="55" s="1"/>
  <c r="T176" i="21"/>
  <c r="U176" i="21" s="1"/>
  <c r="L176" i="55" s="1"/>
  <c r="T71" i="21"/>
  <c r="U71" i="21" s="1"/>
  <c r="L71" i="55" s="1"/>
  <c r="T135" i="21"/>
  <c r="U135" i="21" s="1"/>
  <c r="L135" i="55" s="1"/>
  <c r="T199" i="21"/>
  <c r="U199" i="21" s="1"/>
  <c r="L199" i="55" s="1"/>
  <c r="T263" i="21"/>
  <c r="U263" i="21" s="1"/>
  <c r="L263" i="55" s="1"/>
  <c r="T240" i="21"/>
  <c r="U240" i="21" s="1"/>
  <c r="L240" i="55" s="1"/>
  <c r="T192" i="21"/>
  <c r="U192" i="21" s="1"/>
  <c r="L192" i="55" s="1"/>
  <c r="T185" i="21"/>
  <c r="U185" i="21" s="1"/>
  <c r="L185" i="55" s="1"/>
  <c r="T93" i="21"/>
  <c r="U93" i="21" s="1"/>
  <c r="L93" i="55" s="1"/>
  <c r="T151" i="21"/>
  <c r="U151" i="21" s="1"/>
  <c r="L151" i="55" s="1"/>
  <c r="T10" i="21"/>
  <c r="U10" i="21" s="1"/>
  <c r="L10" i="55" s="1"/>
  <c r="T220" i="21"/>
  <c r="U220" i="21" s="1"/>
  <c r="L220" i="55" s="1"/>
  <c r="T270" i="21"/>
  <c r="U270" i="21" s="1"/>
  <c r="L270" i="55" s="1"/>
  <c r="T280" i="21"/>
  <c r="U280" i="21" s="1"/>
  <c r="L280" i="55" s="1"/>
  <c r="T49" i="21"/>
  <c r="U49" i="21" s="1"/>
  <c r="L49" i="55" s="1"/>
  <c r="T113" i="21"/>
  <c r="U113" i="21" s="1"/>
  <c r="L113" i="55" s="1"/>
  <c r="T177" i="21"/>
  <c r="U177" i="21" s="1"/>
  <c r="L177" i="55" s="1"/>
  <c r="T241" i="21"/>
  <c r="U241" i="21" s="1"/>
  <c r="L241" i="55" s="1"/>
  <c r="T305" i="21"/>
  <c r="U305" i="21" s="1"/>
  <c r="L305" i="55" s="1"/>
  <c r="T58" i="21"/>
  <c r="U58" i="21" s="1"/>
  <c r="L58" i="55" s="1"/>
  <c r="T122" i="21"/>
  <c r="U122" i="21" s="1"/>
  <c r="L122" i="55" s="1"/>
  <c r="T186" i="21"/>
  <c r="U186" i="21" s="1"/>
  <c r="L186" i="55" s="1"/>
  <c r="T250" i="21"/>
  <c r="U250" i="21" s="1"/>
  <c r="L250" i="55" s="1"/>
  <c r="T56" i="21"/>
  <c r="U56" i="21" s="1"/>
  <c r="L56" i="55" s="1"/>
  <c r="T67" i="21"/>
  <c r="U67" i="21" s="1"/>
  <c r="L67" i="55" s="1"/>
  <c r="T131" i="21"/>
  <c r="U131" i="21" s="1"/>
  <c r="L131" i="55" s="1"/>
  <c r="T195" i="21"/>
  <c r="U195" i="21" s="1"/>
  <c r="L195" i="55" s="1"/>
  <c r="T259" i="21"/>
  <c r="U259" i="21" s="1"/>
  <c r="L259" i="55" s="1"/>
  <c r="T12" i="21"/>
  <c r="U12" i="21" s="1"/>
  <c r="L12" i="55" s="1"/>
  <c r="T76" i="21"/>
  <c r="U76" i="21" s="1"/>
  <c r="L76" i="55" s="1"/>
  <c r="T140" i="21"/>
  <c r="U140" i="21" s="1"/>
  <c r="L140" i="55" s="1"/>
  <c r="T204" i="21"/>
  <c r="U204" i="21" s="1"/>
  <c r="L204" i="55" s="1"/>
  <c r="T268" i="21"/>
  <c r="U268" i="21" s="1"/>
  <c r="L268" i="55" s="1"/>
  <c r="T21" i="21"/>
  <c r="U21" i="21" s="1"/>
  <c r="L21" i="55" s="1"/>
  <c r="T85" i="21"/>
  <c r="U85" i="21" s="1"/>
  <c r="L85" i="55" s="1"/>
  <c r="T149" i="21"/>
  <c r="U149" i="21" s="1"/>
  <c r="L149" i="55" s="1"/>
  <c r="T213" i="21"/>
  <c r="U213" i="21" s="1"/>
  <c r="L213" i="55" s="1"/>
  <c r="T277" i="21"/>
  <c r="U277" i="21" s="1"/>
  <c r="L277" i="55" s="1"/>
  <c r="T136" i="21"/>
  <c r="U136" i="21" s="1"/>
  <c r="L136" i="55" s="1"/>
  <c r="T62" i="21"/>
  <c r="U62" i="21" s="1"/>
  <c r="L62" i="55" s="1"/>
  <c r="T126" i="21"/>
  <c r="U126" i="21" s="1"/>
  <c r="L126" i="55" s="1"/>
  <c r="T190" i="21"/>
  <c r="U190" i="21" s="1"/>
  <c r="L190" i="55" s="1"/>
  <c r="T254" i="21"/>
  <c r="U254" i="21" s="1"/>
  <c r="L254" i="55" s="1"/>
  <c r="T72" i="21"/>
  <c r="U72" i="21" s="1"/>
  <c r="L72" i="55" s="1"/>
  <c r="T15" i="21"/>
  <c r="U15" i="21" s="1"/>
  <c r="L15" i="55" s="1"/>
  <c r="T79" i="21"/>
  <c r="U79" i="21" s="1"/>
  <c r="L79" i="55" s="1"/>
  <c r="T143" i="21"/>
  <c r="U143" i="21" s="1"/>
  <c r="L143" i="55" s="1"/>
  <c r="T207" i="21"/>
  <c r="U207" i="21" s="1"/>
  <c r="L207" i="55" s="1"/>
  <c r="T271" i="21"/>
  <c r="U271" i="21" s="1"/>
  <c r="L271" i="55" s="1"/>
  <c r="T304" i="21"/>
  <c r="U304" i="21" s="1"/>
  <c r="L304" i="55" s="1"/>
  <c r="T256" i="21"/>
  <c r="U256" i="21" s="1"/>
  <c r="L256" i="55" s="1"/>
  <c r="T66" i="21"/>
  <c r="U66" i="21" s="1"/>
  <c r="L66" i="55" s="1"/>
  <c r="T157" i="21"/>
  <c r="U157" i="21" s="1"/>
  <c r="L157" i="55" s="1"/>
  <c r="T87" i="21"/>
  <c r="U87" i="21" s="1"/>
  <c r="L87" i="55" s="1"/>
  <c r="T257" i="21"/>
  <c r="U257" i="21" s="1"/>
  <c r="L257" i="55" s="1"/>
  <c r="T28" i="21"/>
  <c r="U28" i="21" s="1"/>
  <c r="L28" i="55" s="1"/>
  <c r="T165" i="21"/>
  <c r="U165" i="21" s="1"/>
  <c r="L165" i="55" s="1"/>
  <c r="T206" i="21"/>
  <c r="U206" i="21" s="1"/>
  <c r="L206" i="55" s="1"/>
  <c r="T159" i="21"/>
  <c r="U159" i="21" s="1"/>
  <c r="L159" i="55" s="1"/>
  <c r="U274" i="21"/>
  <c r="L274" i="55" s="1"/>
  <c r="F13" i="9"/>
  <c r="U9" i="45"/>
  <c r="U8" i="45"/>
  <c r="U10" i="45"/>
  <c r="U11" i="45"/>
  <c r="U13" i="45"/>
  <c r="U12" i="45"/>
  <c r="P244" i="29"/>
  <c r="P163" i="29"/>
  <c r="P169" i="29"/>
  <c r="P194" i="29"/>
  <c r="P201" i="29"/>
  <c r="P90" i="29"/>
  <c r="P95" i="29"/>
  <c r="P278" i="29"/>
  <c r="P193" i="29"/>
  <c r="P76" i="29"/>
  <c r="P166" i="29"/>
  <c r="P80" i="29"/>
  <c r="P83" i="29"/>
  <c r="P25" i="29"/>
  <c r="P185" i="29"/>
  <c r="P104" i="29"/>
  <c r="P40" i="29"/>
  <c r="P243" i="29"/>
  <c r="P22" i="29"/>
  <c r="P217" i="29"/>
  <c r="P247" i="29"/>
  <c r="P96" i="29"/>
  <c r="P54" i="29"/>
  <c r="P39" i="29"/>
  <c r="P170" i="29"/>
  <c r="P119" i="29"/>
  <c r="P33" i="29"/>
  <c r="P192" i="29"/>
  <c r="P143" i="29"/>
  <c r="P239" i="29"/>
  <c r="P231" i="29"/>
  <c r="P172" i="29"/>
  <c r="P171" i="29"/>
  <c r="P196" i="29"/>
  <c r="P46" i="29"/>
  <c r="P291" i="29"/>
  <c r="P82" i="29"/>
  <c r="P160" i="29"/>
  <c r="P42" i="29"/>
  <c r="P241" i="29"/>
  <c r="P177" i="29"/>
  <c r="P14" i="29"/>
  <c r="P59" i="29"/>
  <c r="P55" i="29"/>
  <c r="P71" i="29"/>
  <c r="P155" i="29"/>
  <c r="P111" i="29"/>
  <c r="P164" i="29"/>
  <c r="P103" i="29"/>
  <c r="P84" i="29"/>
  <c r="P255" i="29"/>
  <c r="P218" i="29"/>
  <c r="P257" i="29"/>
  <c r="P173" i="29"/>
  <c r="P86" i="29"/>
  <c r="P213" i="29"/>
  <c r="P206" i="29"/>
  <c r="P101" i="29"/>
  <c r="P77" i="29"/>
  <c r="P224" i="29"/>
  <c r="P30" i="29"/>
  <c r="P35" i="29"/>
  <c r="P32" i="29"/>
  <c r="P228" i="29"/>
  <c r="P236" i="29"/>
  <c r="P51" i="29"/>
  <c r="P178" i="29"/>
  <c r="P210" i="29"/>
  <c r="P168" i="29"/>
  <c r="P202" i="29"/>
  <c r="P250" i="29"/>
  <c r="P183" i="29"/>
  <c r="P153" i="29"/>
  <c r="P292" i="29"/>
  <c r="P91" i="29"/>
  <c r="P266" i="29"/>
  <c r="P128" i="29"/>
  <c r="P182" i="29"/>
  <c r="P260" i="29"/>
  <c r="P258" i="29"/>
  <c r="P156" i="29"/>
  <c r="P26" i="29"/>
  <c r="P99" i="29"/>
  <c r="P43" i="29"/>
  <c r="P195" i="29"/>
  <c r="P62" i="29"/>
  <c r="P136" i="29"/>
  <c r="P133" i="29"/>
  <c r="P287" i="29"/>
  <c r="P212" i="29"/>
  <c r="P230" i="29"/>
  <c r="P66" i="29"/>
  <c r="P23" i="29"/>
  <c r="P252" i="29"/>
  <c r="P41" i="29"/>
  <c r="P176" i="29"/>
  <c r="P187" i="29"/>
  <c r="P92" i="29"/>
  <c r="P304" i="29"/>
  <c r="P242" i="29"/>
  <c r="P199" i="29"/>
  <c r="P281" i="29"/>
  <c r="P162" i="29"/>
  <c r="P81" i="29"/>
  <c r="P175" i="29"/>
  <c r="P215" i="29"/>
  <c r="P36" i="29"/>
  <c r="P138" i="29"/>
  <c r="P70" i="29"/>
  <c r="P109" i="29"/>
  <c r="P282" i="29"/>
  <c r="P220" i="29"/>
  <c r="P262" i="29"/>
  <c r="P245" i="29"/>
  <c r="P179" i="29"/>
  <c r="P89" i="29"/>
  <c r="P209" i="29"/>
  <c r="P248" i="29"/>
  <c r="P293" i="29"/>
  <c r="P180" i="29"/>
  <c r="P53" i="29"/>
  <c r="P31" i="29"/>
  <c r="P142" i="29"/>
  <c r="P60" i="29"/>
  <c r="P64" i="29"/>
  <c r="P67" i="29"/>
  <c r="P20" i="29"/>
  <c r="P222" i="29"/>
  <c r="P283" i="29"/>
  <c r="P233" i="29"/>
  <c r="P105" i="29"/>
  <c r="P19" i="29"/>
  <c r="P44" i="29"/>
  <c r="P157" i="29"/>
  <c r="P190" i="29"/>
  <c r="P27" i="29"/>
  <c r="P223" i="29"/>
  <c r="P135" i="29"/>
  <c r="P268" i="29"/>
  <c r="P37" i="29"/>
  <c r="P246" i="29"/>
  <c r="P200" i="29"/>
  <c r="P58" i="29"/>
  <c r="P237" i="29"/>
  <c r="P285" i="29"/>
  <c r="P48" i="29"/>
  <c r="P75" i="29"/>
  <c r="P52" i="29"/>
  <c r="P97" i="29"/>
  <c r="P214" i="29"/>
  <c r="P134" i="29"/>
  <c r="P18" i="29"/>
  <c r="P305" i="29"/>
  <c r="P24" i="29"/>
  <c r="P159" i="29"/>
  <c r="P191" i="29"/>
  <c r="P232" i="29"/>
  <c r="P259" i="29"/>
  <c r="P165" i="29"/>
  <c r="P15" i="29"/>
  <c r="P88" i="29"/>
  <c r="P69" i="29"/>
  <c r="P98" i="29"/>
  <c r="P303" i="29"/>
  <c r="P234" i="29"/>
  <c r="P151" i="29"/>
  <c r="P129" i="29"/>
  <c r="P249" i="29"/>
  <c r="P78" i="29"/>
  <c r="P203" i="29"/>
  <c r="P208" i="29"/>
  <c r="P256" i="29"/>
  <c r="P221" i="29"/>
  <c r="P102" i="29"/>
  <c r="P161" i="29"/>
  <c r="P93" i="29"/>
  <c r="P219" i="29"/>
  <c r="P295" i="29"/>
  <c r="P158" i="29"/>
  <c r="P106" i="29"/>
  <c r="P38" i="29"/>
  <c r="P227" i="29"/>
  <c r="P174" i="29"/>
  <c r="P13" i="29"/>
  <c r="P87" i="29"/>
  <c r="P251" i="29"/>
  <c r="P154" i="29"/>
  <c r="P264" i="29"/>
  <c r="P238" i="29"/>
  <c r="P211" i="29"/>
  <c r="P235" i="29"/>
  <c r="P188" i="29"/>
  <c r="P226" i="29"/>
  <c r="P107" i="29"/>
  <c r="P121" i="29"/>
  <c r="P68" i="29"/>
  <c r="P302" i="29"/>
  <c r="P73" i="29"/>
  <c r="P286" i="29"/>
  <c r="P216" i="29"/>
  <c r="P240" i="29"/>
  <c r="P85" i="29"/>
  <c r="P225" i="29"/>
  <c r="P253" i="29"/>
  <c r="P114" i="29"/>
  <c r="P79" i="29"/>
  <c r="P263" i="29"/>
  <c r="P34" i="29"/>
  <c r="P207" i="29"/>
  <c r="P205" i="29"/>
  <c r="P229" i="29"/>
  <c r="P297" i="29"/>
  <c r="P21" i="29"/>
  <c r="P288" i="29"/>
  <c r="P307" i="29"/>
  <c r="P29" i="29"/>
  <c r="P204" i="29"/>
  <c r="P265" i="29"/>
  <c r="P137" i="29"/>
  <c r="P301" i="29"/>
  <c r="P167" i="29"/>
  <c r="P100" i="29"/>
  <c r="P279" i="29"/>
  <c r="P254" i="29"/>
  <c r="P74" i="29"/>
  <c r="P294" i="29"/>
  <c r="P50" i="29"/>
  <c r="P49" i="29"/>
  <c r="P140" i="29"/>
  <c r="P184" i="29"/>
  <c r="P261" i="29"/>
  <c r="P189" i="29"/>
  <c r="P28" i="29"/>
  <c r="P141" i="29"/>
  <c r="P65" i="29"/>
  <c r="P181" i="29"/>
  <c r="P94" i="29"/>
  <c r="P57" i="29"/>
  <c r="P112" i="29"/>
  <c r="P147" i="29"/>
  <c r="E308" i="21"/>
  <c r="F308" i="21"/>
  <c r="D308" i="21"/>
  <c r="J308" i="21"/>
  <c r="H308" i="21"/>
  <c r="G308" i="21"/>
  <c r="U27" i="45" l="1"/>
  <c r="P27" i="45" s="1"/>
  <c r="I4" i="9"/>
  <c r="G11" i="9" s="1"/>
  <c r="H11" i="9" s="1"/>
  <c r="F308" i="9"/>
  <c r="U8" i="21"/>
  <c r="L8" i="55" s="1"/>
  <c r="L308" i="55" s="1"/>
  <c r="T308" i="21"/>
  <c r="U308" i="21" s="1"/>
  <c r="U6" i="21" s="1"/>
  <c r="S14" i="45"/>
  <c r="U14" i="45"/>
  <c r="L308" i="29"/>
  <c r="P308" i="29"/>
  <c r="I11" i="9" l="1"/>
  <c r="G11" i="55" s="1"/>
  <c r="G170" i="9"/>
  <c r="H170" i="9" s="1"/>
  <c r="G216" i="9"/>
  <c r="H216" i="9" s="1"/>
  <c r="G41" i="9"/>
  <c r="H41" i="9" s="1"/>
  <c r="G110" i="9"/>
  <c r="H110" i="9" s="1"/>
  <c r="G101" i="9"/>
  <c r="H101" i="9" s="1"/>
  <c r="G188" i="9"/>
  <c r="H188" i="9" s="1"/>
  <c r="G131" i="9"/>
  <c r="H131" i="9" s="1"/>
  <c r="G266" i="9"/>
  <c r="H266" i="9" s="1"/>
  <c r="G256" i="9"/>
  <c r="H256" i="9" s="1"/>
  <c r="G58" i="9"/>
  <c r="H58" i="9" s="1"/>
  <c r="G72" i="9"/>
  <c r="H72" i="9" s="1"/>
  <c r="G184" i="9"/>
  <c r="H184" i="9" s="1"/>
  <c r="G289" i="9"/>
  <c r="H289" i="9" s="1"/>
  <c r="G225" i="9"/>
  <c r="H225" i="9" s="1"/>
  <c r="G161" i="9"/>
  <c r="H161" i="9" s="1"/>
  <c r="G97" i="9"/>
  <c r="H97" i="9" s="1"/>
  <c r="G33" i="9"/>
  <c r="H33" i="9" s="1"/>
  <c r="G271" i="9"/>
  <c r="H271" i="9" s="1"/>
  <c r="G207" i="9"/>
  <c r="H207" i="9" s="1"/>
  <c r="G143" i="9"/>
  <c r="H143" i="9" s="1"/>
  <c r="G79" i="9"/>
  <c r="H79" i="9" s="1"/>
  <c r="G15" i="9"/>
  <c r="H15" i="9" s="1"/>
  <c r="G166" i="9"/>
  <c r="H166" i="9" s="1"/>
  <c r="G102" i="9"/>
  <c r="H102" i="9" s="1"/>
  <c r="G38" i="9"/>
  <c r="H38" i="9" s="1"/>
  <c r="G285" i="9"/>
  <c r="H285" i="9" s="1"/>
  <c r="G221" i="9"/>
  <c r="H221" i="9" s="1"/>
  <c r="G157" i="9"/>
  <c r="H157" i="9" s="1"/>
  <c r="G93" i="9"/>
  <c r="H93" i="9" s="1"/>
  <c r="G29" i="9"/>
  <c r="H29" i="9" s="1"/>
  <c r="G8" i="9"/>
  <c r="H8" i="9" s="1"/>
  <c r="G244" i="9"/>
  <c r="H244" i="9" s="1"/>
  <c r="G180" i="9"/>
  <c r="H180" i="9" s="1"/>
  <c r="G116" i="9"/>
  <c r="H116" i="9" s="1"/>
  <c r="G52" i="9"/>
  <c r="H52" i="9" s="1"/>
  <c r="G230" i="9"/>
  <c r="H230" i="9" s="1"/>
  <c r="G251" i="9"/>
  <c r="H251" i="9" s="1"/>
  <c r="G187" i="9"/>
  <c r="H187" i="9" s="1"/>
  <c r="G123" i="9"/>
  <c r="H123" i="9" s="1"/>
  <c r="G59" i="9"/>
  <c r="H59" i="9" s="1"/>
  <c r="G98" i="9"/>
  <c r="H98" i="9" s="1"/>
  <c r="G169" i="9"/>
  <c r="H169" i="9" s="1"/>
  <c r="G87" i="9"/>
  <c r="H87" i="9" s="1"/>
  <c r="G293" i="9"/>
  <c r="H293" i="9" s="1"/>
  <c r="G301" i="9"/>
  <c r="H301" i="9" s="1"/>
  <c r="G262" i="9"/>
  <c r="H262" i="9" s="1"/>
  <c r="G104" i="9"/>
  <c r="H104" i="9" s="1"/>
  <c r="G26" i="9"/>
  <c r="H26" i="9" s="1"/>
  <c r="G258" i="9"/>
  <c r="H258" i="9" s="1"/>
  <c r="G152" i="9"/>
  <c r="H152" i="9" s="1"/>
  <c r="G281" i="9"/>
  <c r="H281" i="9" s="1"/>
  <c r="G217" i="9"/>
  <c r="H217" i="9" s="1"/>
  <c r="G153" i="9"/>
  <c r="H153" i="9" s="1"/>
  <c r="G89" i="9"/>
  <c r="H89" i="9" s="1"/>
  <c r="G25" i="9"/>
  <c r="H25" i="9" s="1"/>
  <c r="G263" i="9"/>
  <c r="H263" i="9" s="1"/>
  <c r="G199" i="9"/>
  <c r="H199" i="9" s="1"/>
  <c r="G135" i="9"/>
  <c r="H135" i="9" s="1"/>
  <c r="G71" i="9"/>
  <c r="H71" i="9" s="1"/>
  <c r="G270" i="9"/>
  <c r="H270" i="9" s="1"/>
  <c r="G158" i="9"/>
  <c r="H158" i="9" s="1"/>
  <c r="G94" i="9"/>
  <c r="H94" i="9" s="1"/>
  <c r="G30" i="9"/>
  <c r="H30" i="9" s="1"/>
  <c r="G277" i="9"/>
  <c r="H277" i="9" s="1"/>
  <c r="G213" i="9"/>
  <c r="H213" i="9" s="1"/>
  <c r="G149" i="9"/>
  <c r="H149" i="9" s="1"/>
  <c r="G85" i="9"/>
  <c r="H85" i="9" s="1"/>
  <c r="G21" i="9"/>
  <c r="H21" i="9" s="1"/>
  <c r="G300" i="9"/>
  <c r="H300" i="9" s="1"/>
  <c r="G236" i="9"/>
  <c r="H236" i="9" s="1"/>
  <c r="G172" i="9"/>
  <c r="H172" i="9" s="1"/>
  <c r="G108" i="9"/>
  <c r="H108" i="9" s="1"/>
  <c r="G44" i="9"/>
  <c r="H44" i="9" s="1"/>
  <c r="G307" i="9"/>
  <c r="H307" i="9" s="1"/>
  <c r="G243" i="9"/>
  <c r="H243" i="9" s="1"/>
  <c r="G179" i="9"/>
  <c r="H179" i="9" s="1"/>
  <c r="G115" i="9"/>
  <c r="H115" i="9" s="1"/>
  <c r="G51" i="9"/>
  <c r="H51" i="9" s="1"/>
  <c r="G10" i="9"/>
  <c r="H10" i="9" s="1"/>
  <c r="G297" i="9"/>
  <c r="H297" i="9" s="1"/>
  <c r="G279" i="9"/>
  <c r="H279" i="9" s="1"/>
  <c r="G46" i="9"/>
  <c r="H46" i="9" s="1"/>
  <c r="G37" i="9"/>
  <c r="H37" i="9" s="1"/>
  <c r="G124" i="9"/>
  <c r="H124" i="9" s="1"/>
  <c r="G259" i="9"/>
  <c r="H259" i="9" s="1"/>
  <c r="G64" i="9"/>
  <c r="H64" i="9" s="1"/>
  <c r="G290" i="9"/>
  <c r="H290" i="9" s="1"/>
  <c r="G250" i="9"/>
  <c r="H250" i="9" s="1"/>
  <c r="G274" i="9"/>
  <c r="H274" i="9" s="1"/>
  <c r="G162" i="9"/>
  <c r="H162" i="9" s="1"/>
  <c r="G120" i="9"/>
  <c r="H120" i="9" s="1"/>
  <c r="G273" i="9"/>
  <c r="H273" i="9" s="1"/>
  <c r="G209" i="9"/>
  <c r="H209" i="9" s="1"/>
  <c r="G145" i="9"/>
  <c r="H145" i="9" s="1"/>
  <c r="G81" i="9"/>
  <c r="H81" i="9" s="1"/>
  <c r="G17" i="9"/>
  <c r="H17" i="9" s="1"/>
  <c r="G255" i="9"/>
  <c r="H255" i="9" s="1"/>
  <c r="G191" i="9"/>
  <c r="H191" i="9" s="1"/>
  <c r="G127" i="9"/>
  <c r="H127" i="9" s="1"/>
  <c r="G63" i="9"/>
  <c r="H63" i="9" s="1"/>
  <c r="G238" i="9"/>
  <c r="H238" i="9" s="1"/>
  <c r="G150" i="9"/>
  <c r="H150" i="9" s="1"/>
  <c r="G86" i="9"/>
  <c r="H86" i="9" s="1"/>
  <c r="G22" i="9"/>
  <c r="H22" i="9" s="1"/>
  <c r="G269" i="9"/>
  <c r="H269" i="9" s="1"/>
  <c r="G205" i="9"/>
  <c r="H205" i="9" s="1"/>
  <c r="G141" i="9"/>
  <c r="H141" i="9" s="1"/>
  <c r="G77" i="9"/>
  <c r="H77" i="9" s="1"/>
  <c r="G13" i="9"/>
  <c r="H13" i="9" s="1"/>
  <c r="G292" i="9"/>
  <c r="H292" i="9" s="1"/>
  <c r="G228" i="9"/>
  <c r="H228" i="9" s="1"/>
  <c r="G164" i="9"/>
  <c r="H164" i="9" s="1"/>
  <c r="G100" i="9"/>
  <c r="H100" i="9" s="1"/>
  <c r="G36" i="9"/>
  <c r="H36" i="9" s="1"/>
  <c r="G299" i="9"/>
  <c r="H299" i="9" s="1"/>
  <c r="G235" i="9"/>
  <c r="H235" i="9" s="1"/>
  <c r="G171" i="9"/>
  <c r="H171" i="9" s="1"/>
  <c r="G107" i="9"/>
  <c r="H107" i="9" s="1"/>
  <c r="G43" i="9"/>
  <c r="H43" i="9" s="1"/>
  <c r="G50" i="9"/>
  <c r="H50" i="9" s="1"/>
  <c r="G233" i="9"/>
  <c r="H233" i="9" s="1"/>
  <c r="G151" i="9"/>
  <c r="H151" i="9" s="1"/>
  <c r="G165" i="9"/>
  <c r="H165" i="9" s="1"/>
  <c r="G67" i="9"/>
  <c r="H67" i="9" s="1"/>
  <c r="G74" i="9"/>
  <c r="H74" i="9" s="1"/>
  <c r="G144" i="9"/>
  <c r="H144" i="9" s="1"/>
  <c r="G32" i="9"/>
  <c r="H32" i="9" s="1"/>
  <c r="G112" i="9"/>
  <c r="H112" i="9" s="1"/>
  <c r="G114" i="9"/>
  <c r="H114" i="9" s="1"/>
  <c r="G130" i="9"/>
  <c r="H130" i="9" s="1"/>
  <c r="G194" i="9"/>
  <c r="H194" i="9" s="1"/>
  <c r="G18" i="9"/>
  <c r="H18" i="9" s="1"/>
  <c r="G218" i="9"/>
  <c r="H218" i="9" s="1"/>
  <c r="G82" i="9"/>
  <c r="H82" i="9" s="1"/>
  <c r="G288" i="9"/>
  <c r="H288" i="9" s="1"/>
  <c r="G88" i="9"/>
  <c r="H88" i="9" s="1"/>
  <c r="G265" i="9"/>
  <c r="H265" i="9" s="1"/>
  <c r="G201" i="9"/>
  <c r="H201" i="9" s="1"/>
  <c r="G137" i="9"/>
  <c r="H137" i="9" s="1"/>
  <c r="G73" i="9"/>
  <c r="H73" i="9" s="1"/>
  <c r="G9" i="9"/>
  <c r="H9" i="9" s="1"/>
  <c r="G247" i="9"/>
  <c r="H247" i="9" s="1"/>
  <c r="G183" i="9"/>
  <c r="H183" i="9" s="1"/>
  <c r="G119" i="9"/>
  <c r="H119" i="9" s="1"/>
  <c r="G55" i="9"/>
  <c r="H55" i="9" s="1"/>
  <c r="G214" i="9"/>
  <c r="H214" i="9" s="1"/>
  <c r="G142" i="9"/>
  <c r="H142" i="9" s="1"/>
  <c r="G78" i="9"/>
  <c r="H78" i="9" s="1"/>
  <c r="G14" i="9"/>
  <c r="H14" i="9" s="1"/>
  <c r="G261" i="9"/>
  <c r="H261" i="9" s="1"/>
  <c r="G197" i="9"/>
  <c r="H197" i="9" s="1"/>
  <c r="G133" i="9"/>
  <c r="H133" i="9" s="1"/>
  <c r="G69" i="9"/>
  <c r="H69" i="9" s="1"/>
  <c r="G302" i="9"/>
  <c r="H302" i="9" s="1"/>
  <c r="G284" i="9"/>
  <c r="H284" i="9" s="1"/>
  <c r="G220" i="9"/>
  <c r="H220" i="9" s="1"/>
  <c r="G156" i="9"/>
  <c r="H156" i="9" s="1"/>
  <c r="G92" i="9"/>
  <c r="H92" i="9" s="1"/>
  <c r="G28" i="9"/>
  <c r="H28" i="9" s="1"/>
  <c r="G291" i="9"/>
  <c r="H291" i="9" s="1"/>
  <c r="G227" i="9"/>
  <c r="H227" i="9" s="1"/>
  <c r="G163" i="9"/>
  <c r="H163" i="9" s="1"/>
  <c r="G99" i="9"/>
  <c r="H99" i="9" s="1"/>
  <c r="G35" i="9"/>
  <c r="H35" i="9" s="1"/>
  <c r="G90" i="9"/>
  <c r="H90" i="9" s="1"/>
  <c r="G23" i="9"/>
  <c r="H23" i="9" s="1"/>
  <c r="G195" i="9"/>
  <c r="H195" i="9" s="1"/>
  <c r="G176" i="9"/>
  <c r="H176" i="9" s="1"/>
  <c r="G232" i="9"/>
  <c r="H232" i="9" s="1"/>
  <c r="G282" i="9"/>
  <c r="H282" i="9" s="1"/>
  <c r="G168" i="9"/>
  <c r="H168" i="9" s="1"/>
  <c r="G40" i="9"/>
  <c r="H40" i="9" s="1"/>
  <c r="G304" i="9"/>
  <c r="H304" i="9" s="1"/>
  <c r="G48" i="9"/>
  <c r="H48" i="9" s="1"/>
  <c r="G306" i="9"/>
  <c r="H306" i="9" s="1"/>
  <c r="G66" i="9"/>
  <c r="H66" i="9" s="1"/>
  <c r="G224" i="9"/>
  <c r="H224" i="9" s="1"/>
  <c r="G298" i="9"/>
  <c r="H298" i="9" s="1"/>
  <c r="G186" i="9"/>
  <c r="H186" i="9" s="1"/>
  <c r="G234" i="9"/>
  <c r="H234" i="9" s="1"/>
  <c r="G192" i="9"/>
  <c r="H192" i="9" s="1"/>
  <c r="G56" i="9"/>
  <c r="H56" i="9" s="1"/>
  <c r="G257" i="9"/>
  <c r="H257" i="9" s="1"/>
  <c r="G193" i="9"/>
  <c r="H193" i="9" s="1"/>
  <c r="G129" i="9"/>
  <c r="H129" i="9" s="1"/>
  <c r="G65" i="9"/>
  <c r="H65" i="9" s="1"/>
  <c r="G303" i="9"/>
  <c r="H303" i="9" s="1"/>
  <c r="G239" i="9"/>
  <c r="H239" i="9" s="1"/>
  <c r="G175" i="9"/>
  <c r="H175" i="9" s="1"/>
  <c r="G111" i="9"/>
  <c r="H111" i="9" s="1"/>
  <c r="G47" i="9"/>
  <c r="H47" i="9" s="1"/>
  <c r="G198" i="9"/>
  <c r="H198" i="9" s="1"/>
  <c r="G134" i="9"/>
  <c r="H134" i="9" s="1"/>
  <c r="G70" i="9"/>
  <c r="H70" i="9" s="1"/>
  <c r="G286" i="9"/>
  <c r="H286" i="9" s="1"/>
  <c r="G253" i="9"/>
  <c r="G189" i="9"/>
  <c r="H189" i="9" s="1"/>
  <c r="G125" i="9"/>
  <c r="H125" i="9" s="1"/>
  <c r="G61" i="9"/>
  <c r="H61" i="9" s="1"/>
  <c r="G278" i="9"/>
  <c r="H278" i="9" s="1"/>
  <c r="G276" i="9"/>
  <c r="H276" i="9" s="1"/>
  <c r="G212" i="9"/>
  <c r="H212" i="9" s="1"/>
  <c r="G148" i="9"/>
  <c r="H148" i="9" s="1"/>
  <c r="G84" i="9"/>
  <c r="H84" i="9" s="1"/>
  <c r="G20" i="9"/>
  <c r="H20" i="9" s="1"/>
  <c r="G283" i="9"/>
  <c r="H283" i="9" s="1"/>
  <c r="G219" i="9"/>
  <c r="H219" i="9" s="1"/>
  <c r="G155" i="9"/>
  <c r="H155" i="9" s="1"/>
  <c r="G91" i="9"/>
  <c r="H91" i="9" s="1"/>
  <c r="G27" i="9"/>
  <c r="H27" i="9" s="1"/>
  <c r="G96" i="9"/>
  <c r="H96" i="9" s="1"/>
  <c r="G215" i="9"/>
  <c r="H215" i="9" s="1"/>
  <c r="G264" i="9"/>
  <c r="H264" i="9" s="1"/>
  <c r="G106" i="9"/>
  <c r="H106" i="9" s="1"/>
  <c r="G136" i="9"/>
  <c r="H136" i="9" s="1"/>
  <c r="G210" i="9"/>
  <c r="H210" i="9" s="1"/>
  <c r="G80" i="9"/>
  <c r="H80" i="9" s="1"/>
  <c r="G272" i="9"/>
  <c r="H272" i="9" s="1"/>
  <c r="G16" i="9"/>
  <c r="H16" i="9" s="1"/>
  <c r="G146" i="9"/>
  <c r="H146" i="9" s="1"/>
  <c r="G34" i="9"/>
  <c r="H34" i="9" s="1"/>
  <c r="G160" i="9"/>
  <c r="H160" i="9" s="1"/>
  <c r="G138" i="9"/>
  <c r="H138" i="9" s="1"/>
  <c r="G154" i="9"/>
  <c r="H154" i="9" s="1"/>
  <c r="G42" i="9"/>
  <c r="H42" i="9" s="1"/>
  <c r="G280" i="9"/>
  <c r="H280" i="9" s="1"/>
  <c r="G24" i="9"/>
  <c r="H24" i="9" s="1"/>
  <c r="G249" i="9"/>
  <c r="H249" i="9" s="1"/>
  <c r="G185" i="9"/>
  <c r="H185" i="9" s="1"/>
  <c r="G121" i="9"/>
  <c r="H121" i="9" s="1"/>
  <c r="G57" i="9"/>
  <c r="H57" i="9" s="1"/>
  <c r="G295" i="9"/>
  <c r="H295" i="9" s="1"/>
  <c r="G231" i="9"/>
  <c r="H231" i="9" s="1"/>
  <c r="G167" i="9"/>
  <c r="H167" i="9" s="1"/>
  <c r="G103" i="9"/>
  <c r="H103" i="9" s="1"/>
  <c r="G39" i="9"/>
  <c r="H39" i="9" s="1"/>
  <c r="G190" i="9"/>
  <c r="H190" i="9" s="1"/>
  <c r="G126" i="9"/>
  <c r="H126" i="9" s="1"/>
  <c r="G62" i="9"/>
  <c r="H62" i="9" s="1"/>
  <c r="G254" i="9"/>
  <c r="H254" i="9" s="1"/>
  <c r="G245" i="9"/>
  <c r="H245" i="9" s="1"/>
  <c r="G181" i="9"/>
  <c r="H181" i="9" s="1"/>
  <c r="G117" i="9"/>
  <c r="H117" i="9" s="1"/>
  <c r="G53" i="9"/>
  <c r="H53" i="9" s="1"/>
  <c r="G246" i="9"/>
  <c r="H246" i="9" s="1"/>
  <c r="G268" i="9"/>
  <c r="H268" i="9" s="1"/>
  <c r="G204" i="9"/>
  <c r="H204" i="9" s="1"/>
  <c r="G140" i="9"/>
  <c r="H140" i="9" s="1"/>
  <c r="G76" i="9"/>
  <c r="H76" i="9" s="1"/>
  <c r="G12" i="9"/>
  <c r="H12" i="9" s="1"/>
  <c r="G275" i="9"/>
  <c r="H275" i="9" s="1"/>
  <c r="G211" i="9"/>
  <c r="H211" i="9" s="1"/>
  <c r="G147" i="9"/>
  <c r="H147" i="9" s="1"/>
  <c r="G83" i="9"/>
  <c r="H83" i="9" s="1"/>
  <c r="G19" i="9"/>
  <c r="H19" i="9" s="1"/>
  <c r="G208" i="9"/>
  <c r="H208" i="9" s="1"/>
  <c r="G200" i="9"/>
  <c r="H200" i="9" s="1"/>
  <c r="G105" i="9"/>
  <c r="H105" i="9" s="1"/>
  <c r="G174" i="9"/>
  <c r="H174" i="9" s="1"/>
  <c r="G229" i="9"/>
  <c r="H229" i="9" s="1"/>
  <c r="G252" i="9"/>
  <c r="H252" i="9" s="1"/>
  <c r="G60" i="9"/>
  <c r="H60" i="9" s="1"/>
  <c r="G240" i="9"/>
  <c r="H240" i="9" s="1"/>
  <c r="G178" i="9"/>
  <c r="H178" i="9" s="1"/>
  <c r="G202" i="9"/>
  <c r="H202" i="9" s="1"/>
  <c r="G242" i="9"/>
  <c r="H242" i="9" s="1"/>
  <c r="G128" i="9"/>
  <c r="H128" i="9" s="1"/>
  <c r="G226" i="9"/>
  <c r="H226" i="9" s="1"/>
  <c r="G122" i="9"/>
  <c r="H122" i="9" s="1"/>
  <c r="G296" i="9"/>
  <c r="H296" i="9" s="1"/>
  <c r="G248" i="9"/>
  <c r="H248" i="9" s="1"/>
  <c r="G305" i="9"/>
  <c r="H305" i="9" s="1"/>
  <c r="G241" i="9"/>
  <c r="H241" i="9" s="1"/>
  <c r="G177" i="9"/>
  <c r="H177" i="9" s="1"/>
  <c r="G113" i="9"/>
  <c r="H113" i="9" s="1"/>
  <c r="G49" i="9"/>
  <c r="H49" i="9" s="1"/>
  <c r="G287" i="9"/>
  <c r="H287" i="9" s="1"/>
  <c r="G223" i="9"/>
  <c r="H223" i="9" s="1"/>
  <c r="G159" i="9"/>
  <c r="H159" i="9" s="1"/>
  <c r="G95" i="9"/>
  <c r="H95" i="9" s="1"/>
  <c r="G31" i="9"/>
  <c r="H31" i="9" s="1"/>
  <c r="G182" i="9"/>
  <c r="H182" i="9" s="1"/>
  <c r="G118" i="9"/>
  <c r="H118" i="9" s="1"/>
  <c r="G54" i="9"/>
  <c r="H54" i="9" s="1"/>
  <c r="G222" i="9"/>
  <c r="H222" i="9" s="1"/>
  <c r="G237" i="9"/>
  <c r="H237" i="9" s="1"/>
  <c r="G173" i="9"/>
  <c r="H173" i="9" s="1"/>
  <c r="G109" i="9"/>
  <c r="H109" i="9" s="1"/>
  <c r="G45" i="9"/>
  <c r="H45" i="9" s="1"/>
  <c r="G206" i="9"/>
  <c r="H206" i="9" s="1"/>
  <c r="G260" i="9"/>
  <c r="H260" i="9" s="1"/>
  <c r="G196" i="9"/>
  <c r="H196" i="9" s="1"/>
  <c r="G132" i="9"/>
  <c r="H132" i="9" s="1"/>
  <c r="G68" i="9"/>
  <c r="H68" i="9" s="1"/>
  <c r="G294" i="9"/>
  <c r="H294" i="9" s="1"/>
  <c r="G267" i="9"/>
  <c r="H267" i="9" s="1"/>
  <c r="G203" i="9"/>
  <c r="H203" i="9" s="1"/>
  <c r="G139" i="9"/>
  <c r="H139" i="9" s="1"/>
  <c r="G75" i="9"/>
  <c r="H75" i="9" s="1"/>
  <c r="S8" i="29"/>
  <c r="S24" i="29"/>
  <c r="U24" i="29" s="1"/>
  <c r="U24" i="55" s="1"/>
  <c r="S56" i="29"/>
  <c r="U56" i="29" s="1"/>
  <c r="U56" i="55" s="1"/>
  <c r="S88" i="29"/>
  <c r="U88" i="29" s="1"/>
  <c r="U88" i="55" s="1"/>
  <c r="S120" i="29"/>
  <c r="U120" i="29" s="1"/>
  <c r="U120" i="55" s="1"/>
  <c r="S152" i="29"/>
  <c r="U152" i="29" s="1"/>
  <c r="U152" i="55" s="1"/>
  <c r="S184" i="29"/>
  <c r="U184" i="29" s="1"/>
  <c r="U184" i="55" s="1"/>
  <c r="S216" i="29"/>
  <c r="U216" i="29" s="1"/>
  <c r="U216" i="55" s="1"/>
  <c r="S248" i="29"/>
  <c r="U248" i="29" s="1"/>
  <c r="U248" i="55" s="1"/>
  <c r="S280" i="29"/>
  <c r="U280" i="29" s="1"/>
  <c r="U280" i="55" s="1"/>
  <c r="S13" i="29"/>
  <c r="U13" i="29" s="1"/>
  <c r="U13" i="55" s="1"/>
  <c r="S45" i="29"/>
  <c r="U45" i="29" s="1"/>
  <c r="U45" i="55" s="1"/>
  <c r="S77" i="29"/>
  <c r="U77" i="29" s="1"/>
  <c r="U77" i="55" s="1"/>
  <c r="S109" i="29"/>
  <c r="U109" i="29" s="1"/>
  <c r="U109" i="55" s="1"/>
  <c r="S141" i="29"/>
  <c r="U141" i="29" s="1"/>
  <c r="U141" i="55" s="1"/>
  <c r="S173" i="29"/>
  <c r="U173" i="29" s="1"/>
  <c r="U173" i="55" s="1"/>
  <c r="S205" i="29"/>
  <c r="U205" i="29" s="1"/>
  <c r="U205" i="55" s="1"/>
  <c r="S237" i="29"/>
  <c r="U237" i="29" s="1"/>
  <c r="U237" i="55" s="1"/>
  <c r="S269" i="29"/>
  <c r="U269" i="29" s="1"/>
  <c r="U269" i="55" s="1"/>
  <c r="S301" i="29"/>
  <c r="U301" i="29" s="1"/>
  <c r="U301" i="55" s="1"/>
  <c r="S34" i="29"/>
  <c r="U34" i="29" s="1"/>
  <c r="U34" i="55" s="1"/>
  <c r="S66" i="29"/>
  <c r="U66" i="29" s="1"/>
  <c r="U66" i="55" s="1"/>
  <c r="S98" i="29"/>
  <c r="U98" i="29" s="1"/>
  <c r="U98" i="55" s="1"/>
  <c r="S130" i="29"/>
  <c r="U130" i="29" s="1"/>
  <c r="U130" i="55" s="1"/>
  <c r="S162" i="29"/>
  <c r="U162" i="29" s="1"/>
  <c r="U162" i="55" s="1"/>
  <c r="S194" i="29"/>
  <c r="U194" i="29" s="1"/>
  <c r="U194" i="55" s="1"/>
  <c r="S226" i="29"/>
  <c r="U226" i="29" s="1"/>
  <c r="U226" i="55" s="1"/>
  <c r="S258" i="29"/>
  <c r="U258" i="29" s="1"/>
  <c r="U258" i="55" s="1"/>
  <c r="S290" i="29"/>
  <c r="U290" i="29" s="1"/>
  <c r="U290" i="55" s="1"/>
  <c r="S23" i="29"/>
  <c r="U23" i="29" s="1"/>
  <c r="U23" i="55" s="1"/>
  <c r="S55" i="29"/>
  <c r="U55" i="29" s="1"/>
  <c r="U55" i="55" s="1"/>
  <c r="S87" i="29"/>
  <c r="U87" i="29" s="1"/>
  <c r="U87" i="55" s="1"/>
  <c r="S119" i="29"/>
  <c r="U119" i="29" s="1"/>
  <c r="U119" i="55" s="1"/>
  <c r="S151" i="29"/>
  <c r="U151" i="29" s="1"/>
  <c r="U151" i="55" s="1"/>
  <c r="S183" i="29"/>
  <c r="U183" i="29" s="1"/>
  <c r="U183" i="55" s="1"/>
  <c r="S215" i="29"/>
  <c r="U215" i="29" s="1"/>
  <c r="U215" i="55" s="1"/>
  <c r="S247" i="29"/>
  <c r="U247" i="29" s="1"/>
  <c r="U247" i="55" s="1"/>
  <c r="S279" i="29"/>
  <c r="U279" i="29" s="1"/>
  <c r="U279" i="55" s="1"/>
  <c r="S39" i="29"/>
  <c r="U39" i="29" s="1"/>
  <c r="U39" i="55" s="1"/>
  <c r="S103" i="29"/>
  <c r="U103" i="29" s="1"/>
  <c r="U103" i="55" s="1"/>
  <c r="S263" i="29"/>
  <c r="U263" i="29" s="1"/>
  <c r="U263" i="55" s="1"/>
  <c r="S47" i="29"/>
  <c r="U47" i="29" s="1"/>
  <c r="U47" i="55" s="1"/>
  <c r="S20" i="29"/>
  <c r="U20" i="29" s="1"/>
  <c r="U20" i="55" s="1"/>
  <c r="S28" i="29"/>
  <c r="U28" i="29" s="1"/>
  <c r="U28" i="55" s="1"/>
  <c r="S60" i="29"/>
  <c r="U60" i="29" s="1"/>
  <c r="U60" i="55" s="1"/>
  <c r="S92" i="29"/>
  <c r="U92" i="29" s="1"/>
  <c r="U92" i="55" s="1"/>
  <c r="S124" i="29"/>
  <c r="U124" i="29" s="1"/>
  <c r="U124" i="55" s="1"/>
  <c r="S156" i="29"/>
  <c r="U156" i="29" s="1"/>
  <c r="U156" i="55" s="1"/>
  <c r="S188" i="29"/>
  <c r="U188" i="29" s="1"/>
  <c r="U188" i="55" s="1"/>
  <c r="S220" i="29"/>
  <c r="S252" i="29"/>
  <c r="U252" i="29" s="1"/>
  <c r="U252" i="55" s="1"/>
  <c r="S284" i="29"/>
  <c r="U284" i="29" s="1"/>
  <c r="U284" i="55" s="1"/>
  <c r="S17" i="29"/>
  <c r="U17" i="29" s="1"/>
  <c r="U17" i="55" s="1"/>
  <c r="S49" i="29"/>
  <c r="U49" i="29" s="1"/>
  <c r="U49" i="55" s="1"/>
  <c r="S81" i="29"/>
  <c r="U81" i="29" s="1"/>
  <c r="U81" i="55" s="1"/>
  <c r="S113" i="29"/>
  <c r="U113" i="29" s="1"/>
  <c r="U113" i="55" s="1"/>
  <c r="S145" i="29"/>
  <c r="U145" i="29" s="1"/>
  <c r="U145" i="55" s="1"/>
  <c r="S177" i="29"/>
  <c r="U177" i="29" s="1"/>
  <c r="U177" i="55" s="1"/>
  <c r="S209" i="29"/>
  <c r="U209" i="29" s="1"/>
  <c r="U209" i="55" s="1"/>
  <c r="S241" i="29"/>
  <c r="U241" i="29" s="1"/>
  <c r="U241" i="55" s="1"/>
  <c r="S273" i="29"/>
  <c r="U273" i="29" s="1"/>
  <c r="U273" i="55" s="1"/>
  <c r="S305" i="29"/>
  <c r="U305" i="29" s="1"/>
  <c r="U305" i="55" s="1"/>
  <c r="S38" i="29"/>
  <c r="U38" i="29" s="1"/>
  <c r="U38" i="55" s="1"/>
  <c r="S70" i="29"/>
  <c r="U70" i="29" s="1"/>
  <c r="U70" i="55" s="1"/>
  <c r="S102" i="29"/>
  <c r="U102" i="29" s="1"/>
  <c r="U102" i="55" s="1"/>
  <c r="S134" i="29"/>
  <c r="U134" i="29" s="1"/>
  <c r="U134" i="55" s="1"/>
  <c r="S166" i="29"/>
  <c r="U166" i="29" s="1"/>
  <c r="U166" i="55" s="1"/>
  <c r="S198" i="29"/>
  <c r="U198" i="29" s="1"/>
  <c r="U198" i="55" s="1"/>
  <c r="S230" i="29"/>
  <c r="U230" i="29" s="1"/>
  <c r="U230" i="55" s="1"/>
  <c r="S262" i="29"/>
  <c r="U262" i="29" s="1"/>
  <c r="U262" i="55" s="1"/>
  <c r="S294" i="29"/>
  <c r="U294" i="29" s="1"/>
  <c r="U294" i="55" s="1"/>
  <c r="S27" i="29"/>
  <c r="U27" i="29" s="1"/>
  <c r="U27" i="55" s="1"/>
  <c r="S59" i="29"/>
  <c r="U59" i="29" s="1"/>
  <c r="U59" i="55" s="1"/>
  <c r="S91" i="29"/>
  <c r="U91" i="29" s="1"/>
  <c r="U91" i="55" s="1"/>
  <c r="S123" i="29"/>
  <c r="U123" i="29" s="1"/>
  <c r="U123" i="55" s="1"/>
  <c r="S155" i="29"/>
  <c r="U155" i="29" s="1"/>
  <c r="U155" i="55" s="1"/>
  <c r="S187" i="29"/>
  <c r="U187" i="29" s="1"/>
  <c r="U187" i="55" s="1"/>
  <c r="S219" i="29"/>
  <c r="U219" i="29" s="1"/>
  <c r="U219" i="55" s="1"/>
  <c r="S251" i="29"/>
  <c r="U251" i="29" s="1"/>
  <c r="U251" i="55" s="1"/>
  <c r="S283" i="29"/>
  <c r="U283" i="29" s="1"/>
  <c r="U283" i="55" s="1"/>
  <c r="S274" i="29"/>
  <c r="U274" i="29" s="1"/>
  <c r="U274" i="55" s="1"/>
  <c r="S167" i="29"/>
  <c r="U167" i="29" s="1"/>
  <c r="U167" i="55" s="1"/>
  <c r="S299" i="29"/>
  <c r="U299" i="29" s="1"/>
  <c r="U299" i="55" s="1"/>
  <c r="S207" i="29"/>
  <c r="U207" i="29" s="1"/>
  <c r="U207" i="55" s="1"/>
  <c r="S303" i="29"/>
  <c r="U303" i="29" s="1"/>
  <c r="U303" i="55" s="1"/>
  <c r="S32" i="29"/>
  <c r="U32" i="29" s="1"/>
  <c r="U32" i="55" s="1"/>
  <c r="S64" i="29"/>
  <c r="U64" i="29" s="1"/>
  <c r="U64" i="55" s="1"/>
  <c r="S96" i="29"/>
  <c r="U96" i="29" s="1"/>
  <c r="U96" i="55" s="1"/>
  <c r="S128" i="29"/>
  <c r="U128" i="29" s="1"/>
  <c r="U128" i="55" s="1"/>
  <c r="S160" i="29"/>
  <c r="U160" i="29" s="1"/>
  <c r="U160" i="55" s="1"/>
  <c r="S192" i="29"/>
  <c r="U192" i="29" s="1"/>
  <c r="U192" i="55" s="1"/>
  <c r="S224" i="29"/>
  <c r="U224" i="29" s="1"/>
  <c r="U224" i="55" s="1"/>
  <c r="S256" i="29"/>
  <c r="U256" i="29" s="1"/>
  <c r="U256" i="55" s="1"/>
  <c r="S288" i="29"/>
  <c r="U288" i="29" s="1"/>
  <c r="U288" i="55" s="1"/>
  <c r="S21" i="29"/>
  <c r="U21" i="29" s="1"/>
  <c r="U21" i="55" s="1"/>
  <c r="S53" i="29"/>
  <c r="U53" i="29" s="1"/>
  <c r="U53" i="55" s="1"/>
  <c r="S85" i="29"/>
  <c r="U85" i="29" s="1"/>
  <c r="U85" i="55" s="1"/>
  <c r="S117" i="29"/>
  <c r="U117" i="29" s="1"/>
  <c r="U117" i="55" s="1"/>
  <c r="S149" i="29"/>
  <c r="U149" i="29" s="1"/>
  <c r="U149" i="55" s="1"/>
  <c r="S181" i="29"/>
  <c r="U181" i="29" s="1"/>
  <c r="U181" i="55" s="1"/>
  <c r="S213" i="29"/>
  <c r="U213" i="29" s="1"/>
  <c r="U213" i="55" s="1"/>
  <c r="S245" i="29"/>
  <c r="U245" i="29" s="1"/>
  <c r="U245" i="55" s="1"/>
  <c r="S277" i="29"/>
  <c r="U277" i="29" s="1"/>
  <c r="U277" i="55" s="1"/>
  <c r="S10" i="29"/>
  <c r="U10" i="29" s="1"/>
  <c r="U10" i="55" s="1"/>
  <c r="S42" i="29"/>
  <c r="U42" i="29" s="1"/>
  <c r="U42" i="55" s="1"/>
  <c r="S74" i="29"/>
  <c r="U74" i="29" s="1"/>
  <c r="U74" i="55" s="1"/>
  <c r="S106" i="29"/>
  <c r="U106" i="29" s="1"/>
  <c r="U106" i="55" s="1"/>
  <c r="S138" i="29"/>
  <c r="U138" i="29" s="1"/>
  <c r="U138" i="55" s="1"/>
  <c r="S170" i="29"/>
  <c r="U170" i="29" s="1"/>
  <c r="U170" i="55" s="1"/>
  <c r="S202" i="29"/>
  <c r="U202" i="29" s="1"/>
  <c r="U202" i="55" s="1"/>
  <c r="S234" i="29"/>
  <c r="U234" i="29" s="1"/>
  <c r="U234" i="55" s="1"/>
  <c r="S266" i="29"/>
  <c r="U266" i="29" s="1"/>
  <c r="U266" i="55" s="1"/>
  <c r="S298" i="29"/>
  <c r="U298" i="29" s="1"/>
  <c r="U298" i="55" s="1"/>
  <c r="S31" i="29"/>
  <c r="U31" i="29" s="1"/>
  <c r="U31" i="55" s="1"/>
  <c r="S63" i="29"/>
  <c r="U63" i="29" s="1"/>
  <c r="U63" i="55" s="1"/>
  <c r="S95" i="29"/>
  <c r="U95" i="29" s="1"/>
  <c r="U95" i="55" s="1"/>
  <c r="S127" i="29"/>
  <c r="U127" i="29" s="1"/>
  <c r="U127" i="55" s="1"/>
  <c r="S159" i="29"/>
  <c r="U159" i="29" s="1"/>
  <c r="U159" i="55" s="1"/>
  <c r="S191" i="29"/>
  <c r="U191" i="29" s="1"/>
  <c r="U191" i="55" s="1"/>
  <c r="S223" i="29"/>
  <c r="U223" i="29" s="1"/>
  <c r="U223" i="55" s="1"/>
  <c r="S255" i="29"/>
  <c r="U255" i="29" s="1"/>
  <c r="U255" i="55" s="1"/>
  <c r="S287" i="29"/>
  <c r="U287" i="29" s="1"/>
  <c r="U287" i="55" s="1"/>
  <c r="S306" i="29"/>
  <c r="U306" i="29" s="1"/>
  <c r="U306" i="55" s="1"/>
  <c r="S135" i="29"/>
  <c r="U135" i="29" s="1"/>
  <c r="U135" i="55" s="1"/>
  <c r="S295" i="29"/>
  <c r="U295" i="29" s="1"/>
  <c r="U295" i="55" s="1"/>
  <c r="S79" i="29"/>
  <c r="U79" i="29" s="1"/>
  <c r="U79" i="55" s="1"/>
  <c r="S36" i="29"/>
  <c r="U36" i="29" s="1"/>
  <c r="U36" i="55" s="1"/>
  <c r="S68" i="29"/>
  <c r="U68" i="29" s="1"/>
  <c r="U68" i="55" s="1"/>
  <c r="S100" i="29"/>
  <c r="U100" i="29" s="1"/>
  <c r="U100" i="55" s="1"/>
  <c r="S132" i="29"/>
  <c r="U132" i="29" s="1"/>
  <c r="U132" i="55" s="1"/>
  <c r="S164" i="29"/>
  <c r="U164" i="29" s="1"/>
  <c r="U164" i="55" s="1"/>
  <c r="S196" i="29"/>
  <c r="U196" i="29" s="1"/>
  <c r="U196" i="55" s="1"/>
  <c r="S228" i="29"/>
  <c r="U228" i="29" s="1"/>
  <c r="U228" i="55" s="1"/>
  <c r="S260" i="29"/>
  <c r="U260" i="29" s="1"/>
  <c r="U260" i="55" s="1"/>
  <c r="S292" i="29"/>
  <c r="U292" i="29" s="1"/>
  <c r="U292" i="55" s="1"/>
  <c r="S25" i="29"/>
  <c r="U25" i="29" s="1"/>
  <c r="U25" i="55" s="1"/>
  <c r="S57" i="29"/>
  <c r="U57" i="29" s="1"/>
  <c r="U57" i="55" s="1"/>
  <c r="S89" i="29"/>
  <c r="U89" i="29" s="1"/>
  <c r="U89" i="55" s="1"/>
  <c r="S121" i="29"/>
  <c r="U121" i="29" s="1"/>
  <c r="U121" i="55" s="1"/>
  <c r="S153" i="29"/>
  <c r="U153" i="29" s="1"/>
  <c r="U153" i="55" s="1"/>
  <c r="S185" i="29"/>
  <c r="U185" i="29" s="1"/>
  <c r="U185" i="55" s="1"/>
  <c r="S217" i="29"/>
  <c r="U217" i="29" s="1"/>
  <c r="U217" i="55" s="1"/>
  <c r="S249" i="29"/>
  <c r="U249" i="29" s="1"/>
  <c r="U249" i="55" s="1"/>
  <c r="S281" i="29"/>
  <c r="U281" i="29" s="1"/>
  <c r="U281" i="55" s="1"/>
  <c r="S14" i="29"/>
  <c r="U14" i="29" s="1"/>
  <c r="U14" i="55" s="1"/>
  <c r="S46" i="29"/>
  <c r="U46" i="29" s="1"/>
  <c r="U46" i="55" s="1"/>
  <c r="S78" i="29"/>
  <c r="U78" i="29" s="1"/>
  <c r="U78" i="55" s="1"/>
  <c r="S110" i="29"/>
  <c r="U110" i="29" s="1"/>
  <c r="U110" i="55" s="1"/>
  <c r="S142" i="29"/>
  <c r="U142" i="29" s="1"/>
  <c r="U142" i="55" s="1"/>
  <c r="S174" i="29"/>
  <c r="U174" i="29" s="1"/>
  <c r="U174" i="55" s="1"/>
  <c r="S206" i="29"/>
  <c r="U206" i="29" s="1"/>
  <c r="U206" i="55" s="1"/>
  <c r="S238" i="29"/>
  <c r="U238" i="29" s="1"/>
  <c r="U238" i="55" s="1"/>
  <c r="S270" i="29"/>
  <c r="U270" i="29" s="1"/>
  <c r="U270" i="55" s="1"/>
  <c r="S302" i="29"/>
  <c r="U302" i="29" s="1"/>
  <c r="U302" i="55" s="1"/>
  <c r="S35" i="29"/>
  <c r="U35" i="29" s="1"/>
  <c r="U35" i="55" s="1"/>
  <c r="S67" i="29"/>
  <c r="U67" i="29" s="1"/>
  <c r="U67" i="55" s="1"/>
  <c r="S99" i="29"/>
  <c r="U99" i="29" s="1"/>
  <c r="U99" i="55" s="1"/>
  <c r="S131" i="29"/>
  <c r="U131" i="29" s="1"/>
  <c r="U131" i="55" s="1"/>
  <c r="S163" i="29"/>
  <c r="U163" i="29" s="1"/>
  <c r="U163" i="55" s="1"/>
  <c r="S195" i="29"/>
  <c r="U195" i="29" s="1"/>
  <c r="U195" i="55" s="1"/>
  <c r="S227" i="29"/>
  <c r="U227" i="29" s="1"/>
  <c r="U227" i="55" s="1"/>
  <c r="S259" i="29"/>
  <c r="U259" i="29" s="1"/>
  <c r="U259" i="55" s="1"/>
  <c r="S291" i="29"/>
  <c r="U291" i="29" s="1"/>
  <c r="U291" i="55" s="1"/>
  <c r="S242" i="29"/>
  <c r="U242" i="29" s="1"/>
  <c r="U242" i="55" s="1"/>
  <c r="S231" i="29"/>
  <c r="U231" i="29" s="1"/>
  <c r="U231" i="55" s="1"/>
  <c r="S111" i="29"/>
  <c r="U111" i="29" s="1"/>
  <c r="U111" i="55" s="1"/>
  <c r="S271" i="29"/>
  <c r="U271" i="29" s="1"/>
  <c r="U271" i="55" s="1"/>
  <c r="S40" i="29"/>
  <c r="U40" i="29" s="1"/>
  <c r="U40" i="55" s="1"/>
  <c r="S72" i="29"/>
  <c r="U72" i="29" s="1"/>
  <c r="U72" i="55" s="1"/>
  <c r="S104" i="29"/>
  <c r="U104" i="29" s="1"/>
  <c r="U104" i="55" s="1"/>
  <c r="S136" i="29"/>
  <c r="U136" i="29" s="1"/>
  <c r="U136" i="55" s="1"/>
  <c r="S168" i="29"/>
  <c r="U168" i="29" s="1"/>
  <c r="U168" i="55" s="1"/>
  <c r="S200" i="29"/>
  <c r="U200" i="29" s="1"/>
  <c r="U200" i="55" s="1"/>
  <c r="S232" i="29"/>
  <c r="U232" i="29" s="1"/>
  <c r="U232" i="55" s="1"/>
  <c r="S264" i="29"/>
  <c r="U264" i="29" s="1"/>
  <c r="U264" i="55" s="1"/>
  <c r="S296" i="29"/>
  <c r="U296" i="29" s="1"/>
  <c r="U296" i="55" s="1"/>
  <c r="S29" i="29"/>
  <c r="U29" i="29" s="1"/>
  <c r="U29" i="55" s="1"/>
  <c r="S61" i="29"/>
  <c r="U61" i="29" s="1"/>
  <c r="U61" i="55" s="1"/>
  <c r="S93" i="29"/>
  <c r="U93" i="29" s="1"/>
  <c r="U93" i="55" s="1"/>
  <c r="S125" i="29"/>
  <c r="U125" i="29" s="1"/>
  <c r="U125" i="55" s="1"/>
  <c r="S157" i="29"/>
  <c r="U157" i="29" s="1"/>
  <c r="U157" i="55" s="1"/>
  <c r="S189" i="29"/>
  <c r="U189" i="29" s="1"/>
  <c r="U189" i="55" s="1"/>
  <c r="S221" i="29"/>
  <c r="U221" i="29" s="1"/>
  <c r="U221" i="55" s="1"/>
  <c r="S253" i="29"/>
  <c r="S285" i="29"/>
  <c r="U285" i="29" s="1"/>
  <c r="U285" i="55" s="1"/>
  <c r="S18" i="29"/>
  <c r="U18" i="29" s="1"/>
  <c r="U18" i="55" s="1"/>
  <c r="S50" i="29"/>
  <c r="U50" i="29" s="1"/>
  <c r="U50" i="55" s="1"/>
  <c r="S82" i="29"/>
  <c r="U82" i="29" s="1"/>
  <c r="U82" i="55" s="1"/>
  <c r="S114" i="29"/>
  <c r="U114" i="29" s="1"/>
  <c r="U114" i="55" s="1"/>
  <c r="S146" i="29"/>
  <c r="U146" i="29" s="1"/>
  <c r="U146" i="55" s="1"/>
  <c r="S178" i="29"/>
  <c r="U178" i="29" s="1"/>
  <c r="U178" i="55" s="1"/>
  <c r="S210" i="29"/>
  <c r="U210" i="29" s="1"/>
  <c r="U210" i="55" s="1"/>
  <c r="S71" i="29"/>
  <c r="U71" i="29" s="1"/>
  <c r="U71" i="55" s="1"/>
  <c r="S199" i="29"/>
  <c r="U199" i="29" s="1"/>
  <c r="U199" i="55" s="1"/>
  <c r="S175" i="29"/>
  <c r="U175" i="29" s="1"/>
  <c r="U175" i="55" s="1"/>
  <c r="S52" i="29"/>
  <c r="U52" i="29" s="1"/>
  <c r="U52" i="55" s="1"/>
  <c r="S12" i="29"/>
  <c r="U12" i="29" s="1"/>
  <c r="U12" i="55" s="1"/>
  <c r="S44" i="29"/>
  <c r="U44" i="29" s="1"/>
  <c r="U44" i="55" s="1"/>
  <c r="S76" i="29"/>
  <c r="U76" i="29" s="1"/>
  <c r="U76" i="55" s="1"/>
  <c r="S108" i="29"/>
  <c r="U108" i="29" s="1"/>
  <c r="U108" i="55" s="1"/>
  <c r="S140" i="29"/>
  <c r="U140" i="29" s="1"/>
  <c r="U140" i="55" s="1"/>
  <c r="S172" i="29"/>
  <c r="U172" i="29" s="1"/>
  <c r="U172" i="55" s="1"/>
  <c r="S204" i="29"/>
  <c r="U204" i="29" s="1"/>
  <c r="U204" i="55" s="1"/>
  <c r="S236" i="29"/>
  <c r="U236" i="29" s="1"/>
  <c r="U236" i="55" s="1"/>
  <c r="S268" i="29"/>
  <c r="U268" i="29" s="1"/>
  <c r="U268" i="55" s="1"/>
  <c r="S300" i="29"/>
  <c r="U300" i="29" s="1"/>
  <c r="U300" i="55" s="1"/>
  <c r="S33" i="29"/>
  <c r="U33" i="29" s="1"/>
  <c r="U33" i="55" s="1"/>
  <c r="S65" i="29"/>
  <c r="U65" i="29" s="1"/>
  <c r="U65" i="55" s="1"/>
  <c r="S97" i="29"/>
  <c r="U97" i="29" s="1"/>
  <c r="U97" i="55" s="1"/>
  <c r="S129" i="29"/>
  <c r="U129" i="29" s="1"/>
  <c r="U129" i="55" s="1"/>
  <c r="S161" i="29"/>
  <c r="U161" i="29" s="1"/>
  <c r="U161" i="55" s="1"/>
  <c r="S193" i="29"/>
  <c r="U193" i="29" s="1"/>
  <c r="U193" i="55" s="1"/>
  <c r="S225" i="29"/>
  <c r="U225" i="29" s="1"/>
  <c r="U225" i="55" s="1"/>
  <c r="S257" i="29"/>
  <c r="U257" i="29" s="1"/>
  <c r="U257" i="55" s="1"/>
  <c r="S289" i="29"/>
  <c r="U289" i="29" s="1"/>
  <c r="U289" i="55" s="1"/>
  <c r="S22" i="29"/>
  <c r="U22" i="29" s="1"/>
  <c r="U22" i="55" s="1"/>
  <c r="S54" i="29"/>
  <c r="U54" i="29" s="1"/>
  <c r="U54" i="55" s="1"/>
  <c r="S86" i="29"/>
  <c r="U86" i="29" s="1"/>
  <c r="U86" i="55" s="1"/>
  <c r="S118" i="29"/>
  <c r="U118" i="29" s="1"/>
  <c r="U118" i="55" s="1"/>
  <c r="S150" i="29"/>
  <c r="U150" i="29" s="1"/>
  <c r="U150" i="55" s="1"/>
  <c r="S182" i="29"/>
  <c r="U182" i="29" s="1"/>
  <c r="U182" i="55" s="1"/>
  <c r="S214" i="29"/>
  <c r="U214" i="29" s="1"/>
  <c r="U214" i="55" s="1"/>
  <c r="S246" i="29"/>
  <c r="U246" i="29" s="1"/>
  <c r="U246" i="55" s="1"/>
  <c r="S278" i="29"/>
  <c r="U278" i="29" s="1"/>
  <c r="U278" i="55" s="1"/>
  <c r="S11" i="29"/>
  <c r="U11" i="29" s="1"/>
  <c r="U11" i="55" s="1"/>
  <c r="S43" i="29"/>
  <c r="U43" i="29" s="1"/>
  <c r="U43" i="55" s="1"/>
  <c r="S75" i="29"/>
  <c r="U75" i="29" s="1"/>
  <c r="U75" i="55" s="1"/>
  <c r="S107" i="29"/>
  <c r="U107" i="29" s="1"/>
  <c r="U107" i="55" s="1"/>
  <c r="S139" i="29"/>
  <c r="U139" i="29" s="1"/>
  <c r="U139" i="55" s="1"/>
  <c r="S171" i="29"/>
  <c r="U171" i="29" s="1"/>
  <c r="U171" i="55" s="1"/>
  <c r="S203" i="29"/>
  <c r="U203" i="29" s="1"/>
  <c r="U203" i="55" s="1"/>
  <c r="S235" i="29"/>
  <c r="U235" i="29" s="1"/>
  <c r="U235" i="55" s="1"/>
  <c r="S267" i="29"/>
  <c r="U267" i="29" s="1"/>
  <c r="U267" i="55" s="1"/>
  <c r="S143" i="29"/>
  <c r="U143" i="29" s="1"/>
  <c r="U143" i="55" s="1"/>
  <c r="S16" i="29"/>
  <c r="U16" i="29" s="1"/>
  <c r="U16" i="55" s="1"/>
  <c r="S48" i="29"/>
  <c r="U48" i="29" s="1"/>
  <c r="U48" i="55" s="1"/>
  <c r="S80" i="29"/>
  <c r="U80" i="29" s="1"/>
  <c r="U80" i="55" s="1"/>
  <c r="S112" i="29"/>
  <c r="U112" i="29" s="1"/>
  <c r="U112" i="55" s="1"/>
  <c r="S144" i="29"/>
  <c r="U144" i="29" s="1"/>
  <c r="U144" i="55" s="1"/>
  <c r="S176" i="29"/>
  <c r="U176" i="29" s="1"/>
  <c r="U176" i="55" s="1"/>
  <c r="S208" i="29"/>
  <c r="U208" i="29" s="1"/>
  <c r="U208" i="55" s="1"/>
  <c r="S240" i="29"/>
  <c r="U240" i="29" s="1"/>
  <c r="U240" i="55" s="1"/>
  <c r="S272" i="29"/>
  <c r="U272" i="29" s="1"/>
  <c r="U272" i="55" s="1"/>
  <c r="S304" i="29"/>
  <c r="U304" i="29" s="1"/>
  <c r="U304" i="55" s="1"/>
  <c r="S37" i="29"/>
  <c r="U37" i="29" s="1"/>
  <c r="U37" i="55" s="1"/>
  <c r="S69" i="29"/>
  <c r="U69" i="29" s="1"/>
  <c r="U69" i="55" s="1"/>
  <c r="S101" i="29"/>
  <c r="U101" i="29" s="1"/>
  <c r="U101" i="55" s="1"/>
  <c r="S133" i="29"/>
  <c r="U133" i="29" s="1"/>
  <c r="U133" i="55" s="1"/>
  <c r="S165" i="29"/>
  <c r="U165" i="29" s="1"/>
  <c r="U165" i="55" s="1"/>
  <c r="S197" i="29"/>
  <c r="U197" i="29" s="1"/>
  <c r="U197" i="55" s="1"/>
  <c r="S229" i="29"/>
  <c r="U229" i="29" s="1"/>
  <c r="U229" i="55" s="1"/>
  <c r="S261" i="29"/>
  <c r="U261" i="29" s="1"/>
  <c r="U261" i="55" s="1"/>
  <c r="S293" i="29"/>
  <c r="U293" i="29" s="1"/>
  <c r="U293" i="55" s="1"/>
  <c r="S26" i="29"/>
  <c r="U26" i="29" s="1"/>
  <c r="U26" i="55" s="1"/>
  <c r="S58" i="29"/>
  <c r="U58" i="29" s="1"/>
  <c r="U58" i="55" s="1"/>
  <c r="S90" i="29"/>
  <c r="U90" i="29" s="1"/>
  <c r="U90" i="55" s="1"/>
  <c r="S122" i="29"/>
  <c r="U122" i="29" s="1"/>
  <c r="U122" i="55" s="1"/>
  <c r="S154" i="29"/>
  <c r="U154" i="29" s="1"/>
  <c r="U154" i="55" s="1"/>
  <c r="S186" i="29"/>
  <c r="U186" i="29" s="1"/>
  <c r="U186" i="55" s="1"/>
  <c r="S218" i="29"/>
  <c r="U218" i="29" s="1"/>
  <c r="U218" i="55" s="1"/>
  <c r="S250" i="29"/>
  <c r="U250" i="29" s="1"/>
  <c r="U250" i="55" s="1"/>
  <c r="S282" i="29"/>
  <c r="U282" i="29" s="1"/>
  <c r="U282" i="55" s="1"/>
  <c r="S15" i="29"/>
  <c r="U15" i="29" s="1"/>
  <c r="U15" i="55" s="1"/>
  <c r="S239" i="29"/>
  <c r="U239" i="29" s="1"/>
  <c r="U239" i="55" s="1"/>
  <c r="S116" i="29"/>
  <c r="U116" i="29" s="1"/>
  <c r="U116" i="55" s="1"/>
  <c r="S73" i="29"/>
  <c r="U73" i="29" s="1"/>
  <c r="U73" i="55" s="1"/>
  <c r="S30" i="29"/>
  <c r="U30" i="29" s="1"/>
  <c r="U30" i="55" s="1"/>
  <c r="S286" i="29"/>
  <c r="U286" i="29" s="1"/>
  <c r="U286" i="55" s="1"/>
  <c r="S243" i="29"/>
  <c r="U243" i="29" s="1"/>
  <c r="U243" i="55" s="1"/>
  <c r="S105" i="29"/>
  <c r="U105" i="29" s="1"/>
  <c r="U105" i="55" s="1"/>
  <c r="S19" i="29"/>
  <c r="U19" i="29" s="1"/>
  <c r="U19" i="55" s="1"/>
  <c r="S137" i="29"/>
  <c r="U137" i="29" s="1"/>
  <c r="U137" i="55" s="1"/>
  <c r="S307" i="29"/>
  <c r="U307" i="29" s="1"/>
  <c r="U307" i="55" s="1"/>
  <c r="S169" i="29"/>
  <c r="U169" i="29" s="1"/>
  <c r="U169" i="55" s="1"/>
  <c r="S201" i="29"/>
  <c r="U201" i="29" s="1"/>
  <c r="U201" i="55" s="1"/>
  <c r="S276" i="29"/>
  <c r="U276" i="29" s="1"/>
  <c r="U276" i="55" s="1"/>
  <c r="S190" i="29"/>
  <c r="U190" i="29" s="1"/>
  <c r="U190" i="55" s="1"/>
  <c r="S265" i="29"/>
  <c r="U265" i="29" s="1"/>
  <c r="U265" i="55" s="1"/>
  <c r="S297" i="29"/>
  <c r="U297" i="29" s="1"/>
  <c r="U297" i="55" s="1"/>
  <c r="S148" i="29"/>
  <c r="U148" i="29" s="1"/>
  <c r="U148" i="55" s="1"/>
  <c r="S62" i="29"/>
  <c r="U62" i="29" s="1"/>
  <c r="U62" i="55" s="1"/>
  <c r="S275" i="29"/>
  <c r="U275" i="29" s="1"/>
  <c r="U275" i="55" s="1"/>
  <c r="S94" i="29"/>
  <c r="U94" i="29" s="1"/>
  <c r="U94" i="55" s="1"/>
  <c r="S212" i="29"/>
  <c r="U212" i="29" s="1"/>
  <c r="U212" i="55" s="1"/>
  <c r="S83" i="29"/>
  <c r="U83" i="29" s="1"/>
  <c r="U83" i="55" s="1"/>
  <c r="S158" i="29"/>
  <c r="U158" i="29" s="1"/>
  <c r="U158" i="55" s="1"/>
  <c r="S233" i="29"/>
  <c r="U233" i="29" s="1"/>
  <c r="U233" i="55" s="1"/>
  <c r="S9" i="29"/>
  <c r="U9" i="29" s="1"/>
  <c r="U9" i="55" s="1"/>
  <c r="S179" i="29"/>
  <c r="U179" i="29" s="1"/>
  <c r="U179" i="55" s="1"/>
  <c r="S254" i="29"/>
  <c r="U254" i="29" s="1"/>
  <c r="U254" i="55" s="1"/>
  <c r="S180" i="29"/>
  <c r="U180" i="29" s="1"/>
  <c r="U180" i="55" s="1"/>
  <c r="S51" i="29"/>
  <c r="U51" i="29" s="1"/>
  <c r="U51" i="55" s="1"/>
  <c r="S126" i="29"/>
  <c r="U126" i="29" s="1"/>
  <c r="U126" i="55" s="1"/>
  <c r="S244" i="29"/>
  <c r="U244" i="29" s="1"/>
  <c r="U244" i="55" s="1"/>
  <c r="S115" i="29"/>
  <c r="U115" i="29" s="1"/>
  <c r="U115" i="55" s="1"/>
  <c r="S147" i="29"/>
  <c r="U147" i="29" s="1"/>
  <c r="U147" i="55" s="1"/>
  <c r="S222" i="29"/>
  <c r="U222" i="29" s="1"/>
  <c r="U222" i="55" s="1"/>
  <c r="S41" i="29"/>
  <c r="U41" i="29" s="1"/>
  <c r="U41" i="55" s="1"/>
  <c r="S211" i="29"/>
  <c r="U211" i="29" s="1"/>
  <c r="U211" i="55" s="1"/>
  <c r="S84" i="29"/>
  <c r="U84" i="29" s="1"/>
  <c r="U84" i="55" s="1"/>
  <c r="U8" i="29" l="1"/>
  <c r="U8" i="55" s="1"/>
  <c r="I287" i="9"/>
  <c r="G287" i="55" s="1"/>
  <c r="I34" i="9"/>
  <c r="G34" i="55" s="1"/>
  <c r="I304" i="9"/>
  <c r="G304" i="55" s="1"/>
  <c r="I218" i="9"/>
  <c r="G218" i="55" s="1"/>
  <c r="I259" i="9"/>
  <c r="G259" i="55" s="1"/>
  <c r="I300" i="9"/>
  <c r="G300" i="55" s="1"/>
  <c r="I289" i="9"/>
  <c r="G289" i="55" s="1"/>
  <c r="U253" i="29"/>
  <c r="U33" i="45"/>
  <c r="P33" i="45" s="1"/>
  <c r="I196" i="9"/>
  <c r="G196" i="55" s="1"/>
  <c r="I54" i="9"/>
  <c r="G54" i="55" s="1"/>
  <c r="I49" i="9"/>
  <c r="G49" i="55" s="1"/>
  <c r="I226" i="9"/>
  <c r="G226" i="55" s="1"/>
  <c r="I229" i="9"/>
  <c r="G229" i="55" s="1"/>
  <c r="I211" i="9"/>
  <c r="G211" i="55" s="1"/>
  <c r="I53" i="9"/>
  <c r="G53" i="55" s="1"/>
  <c r="I39" i="9"/>
  <c r="G39" i="55" s="1"/>
  <c r="I249" i="9"/>
  <c r="G249" i="55" s="1"/>
  <c r="I146" i="9"/>
  <c r="G146" i="55" s="1"/>
  <c r="I215" i="9"/>
  <c r="G215" i="55" s="1"/>
  <c r="I84" i="9"/>
  <c r="G84" i="55" s="1"/>
  <c r="H253" i="9"/>
  <c r="H308" i="9" s="1"/>
  <c r="N7" i="45"/>
  <c r="N9" i="45" s="1"/>
  <c r="I10" i="45" s="1"/>
  <c r="I239" i="9"/>
  <c r="G239" i="55" s="1"/>
  <c r="I234" i="9"/>
  <c r="G234" i="55" s="1"/>
  <c r="I40" i="9"/>
  <c r="G40" i="55" s="1"/>
  <c r="I35" i="9"/>
  <c r="G35" i="55" s="1"/>
  <c r="I220" i="9"/>
  <c r="G220" i="55" s="1"/>
  <c r="I78" i="9"/>
  <c r="G78" i="55" s="1"/>
  <c r="I73" i="9"/>
  <c r="G73" i="55" s="1"/>
  <c r="I18" i="9"/>
  <c r="G18" i="55" s="1"/>
  <c r="I67" i="9"/>
  <c r="G67" i="55" s="1"/>
  <c r="I235" i="9"/>
  <c r="G235" i="55" s="1"/>
  <c r="I77" i="9"/>
  <c r="G77" i="55" s="1"/>
  <c r="I63" i="9"/>
  <c r="G63" i="55" s="1"/>
  <c r="I273" i="9"/>
  <c r="G273" i="55" s="1"/>
  <c r="I124" i="9"/>
  <c r="G124" i="55" s="1"/>
  <c r="I179" i="9"/>
  <c r="G179" i="55" s="1"/>
  <c r="I21" i="9"/>
  <c r="G21" i="55" s="1"/>
  <c r="I270" i="9"/>
  <c r="G270" i="55" s="1"/>
  <c r="I217" i="9"/>
  <c r="G217" i="55" s="1"/>
  <c r="I293" i="9"/>
  <c r="G293" i="55" s="1"/>
  <c r="I230" i="9"/>
  <c r="G230" i="55" s="1"/>
  <c r="I157" i="9"/>
  <c r="G157" i="55" s="1"/>
  <c r="I143" i="9"/>
  <c r="G143" i="55" s="1"/>
  <c r="I184" i="9"/>
  <c r="G184" i="55" s="1"/>
  <c r="I110" i="9"/>
  <c r="G110" i="55" s="1"/>
  <c r="I122" i="9"/>
  <c r="G122" i="55" s="1"/>
  <c r="I264" i="9"/>
  <c r="G264" i="55" s="1"/>
  <c r="I156" i="9"/>
  <c r="G156" i="55" s="1"/>
  <c r="I13" i="9"/>
  <c r="G13" i="55" s="1"/>
  <c r="I115" i="9"/>
  <c r="G115" i="55" s="1"/>
  <c r="I158" i="9"/>
  <c r="G158" i="55" s="1"/>
  <c r="I79" i="9"/>
  <c r="G79" i="55" s="1"/>
  <c r="I75" i="9"/>
  <c r="G75" i="55" s="1"/>
  <c r="I260" i="9"/>
  <c r="G260" i="55" s="1"/>
  <c r="I118" i="9"/>
  <c r="G118" i="55" s="1"/>
  <c r="I113" i="9"/>
  <c r="G113" i="55" s="1"/>
  <c r="I128" i="9"/>
  <c r="G128" i="55" s="1"/>
  <c r="I174" i="9"/>
  <c r="G174" i="55" s="1"/>
  <c r="I275" i="9"/>
  <c r="G275" i="55" s="1"/>
  <c r="I117" i="9"/>
  <c r="G117" i="55" s="1"/>
  <c r="I103" i="9"/>
  <c r="G103" i="55" s="1"/>
  <c r="I24" i="9"/>
  <c r="G24" i="55" s="1"/>
  <c r="I16" i="9"/>
  <c r="G16" i="55" s="1"/>
  <c r="I96" i="9"/>
  <c r="G96" i="55" s="1"/>
  <c r="I148" i="9"/>
  <c r="G148" i="55" s="1"/>
  <c r="I286" i="9"/>
  <c r="G286" i="55" s="1"/>
  <c r="I303" i="9"/>
  <c r="G303" i="55" s="1"/>
  <c r="I186" i="9"/>
  <c r="G186" i="55" s="1"/>
  <c r="I168" i="9"/>
  <c r="G168" i="55" s="1"/>
  <c r="I99" i="9"/>
  <c r="G99" i="55" s="1"/>
  <c r="I284" i="9"/>
  <c r="G284" i="55" s="1"/>
  <c r="I142" i="9"/>
  <c r="G142" i="55" s="1"/>
  <c r="I137" i="9"/>
  <c r="G137" i="55" s="1"/>
  <c r="I194" i="9"/>
  <c r="G194" i="55" s="1"/>
  <c r="I165" i="9"/>
  <c r="G165" i="55" s="1"/>
  <c r="I299" i="9"/>
  <c r="G299" i="55" s="1"/>
  <c r="I141" i="9"/>
  <c r="G141" i="55" s="1"/>
  <c r="I127" i="9"/>
  <c r="G127" i="55" s="1"/>
  <c r="I120" i="9"/>
  <c r="G120" i="55" s="1"/>
  <c r="I37" i="9"/>
  <c r="G37" i="55" s="1"/>
  <c r="I243" i="9"/>
  <c r="G243" i="55" s="1"/>
  <c r="I85" i="9"/>
  <c r="G85" i="55" s="1"/>
  <c r="I71" i="9"/>
  <c r="G71" i="55" s="1"/>
  <c r="I281" i="9"/>
  <c r="G281" i="55" s="1"/>
  <c r="I87" i="9"/>
  <c r="G87" i="55" s="1"/>
  <c r="I52" i="9"/>
  <c r="G52" i="55" s="1"/>
  <c r="I221" i="9"/>
  <c r="G221" i="55" s="1"/>
  <c r="I207" i="9"/>
  <c r="G207" i="55" s="1"/>
  <c r="I72" i="9"/>
  <c r="G72" i="55" s="1"/>
  <c r="I41" i="9"/>
  <c r="G41" i="55" s="1"/>
  <c r="I222" i="9"/>
  <c r="G222" i="55" s="1"/>
  <c r="I185" i="9"/>
  <c r="G185" i="55" s="1"/>
  <c r="I90" i="9"/>
  <c r="G90" i="55" s="1"/>
  <c r="I238" i="9"/>
  <c r="G238" i="55" s="1"/>
  <c r="I251" i="9"/>
  <c r="G251" i="55" s="1"/>
  <c r="I139" i="9"/>
  <c r="G139" i="55" s="1"/>
  <c r="I206" i="9"/>
  <c r="G206" i="55" s="1"/>
  <c r="I182" i="9"/>
  <c r="G182" i="55" s="1"/>
  <c r="I177" i="9"/>
  <c r="G177" i="55" s="1"/>
  <c r="I242" i="9"/>
  <c r="G242" i="55" s="1"/>
  <c r="I105" i="9"/>
  <c r="G105" i="55" s="1"/>
  <c r="I12" i="9"/>
  <c r="G12" i="55" s="1"/>
  <c r="I181" i="9"/>
  <c r="G181" i="55" s="1"/>
  <c r="I167" i="9"/>
  <c r="G167" i="55" s="1"/>
  <c r="I280" i="9"/>
  <c r="G280" i="55" s="1"/>
  <c r="I272" i="9"/>
  <c r="G272" i="55" s="1"/>
  <c r="I27" i="9"/>
  <c r="G27" i="55" s="1"/>
  <c r="I212" i="9"/>
  <c r="G212" i="55" s="1"/>
  <c r="I70" i="9"/>
  <c r="G70" i="55" s="1"/>
  <c r="I65" i="9"/>
  <c r="G65" i="55" s="1"/>
  <c r="I298" i="9"/>
  <c r="G298" i="55" s="1"/>
  <c r="I282" i="9"/>
  <c r="G282" i="55" s="1"/>
  <c r="I163" i="9"/>
  <c r="G163" i="55" s="1"/>
  <c r="I302" i="9"/>
  <c r="G302" i="55" s="1"/>
  <c r="I214" i="9"/>
  <c r="G214" i="55" s="1"/>
  <c r="I201" i="9"/>
  <c r="G201" i="55" s="1"/>
  <c r="I130" i="9"/>
  <c r="G130" i="55" s="1"/>
  <c r="I151" i="9"/>
  <c r="G151" i="55" s="1"/>
  <c r="I36" i="9"/>
  <c r="G36" i="55" s="1"/>
  <c r="I205" i="9"/>
  <c r="G205" i="55" s="1"/>
  <c r="I191" i="9"/>
  <c r="G191" i="55" s="1"/>
  <c r="I162" i="9"/>
  <c r="G162" i="55" s="1"/>
  <c r="I46" i="9"/>
  <c r="G46" i="55" s="1"/>
  <c r="I307" i="9"/>
  <c r="G307" i="55" s="1"/>
  <c r="I149" i="9"/>
  <c r="G149" i="55" s="1"/>
  <c r="I135" i="9"/>
  <c r="G135" i="55" s="1"/>
  <c r="I152" i="9"/>
  <c r="G152" i="55" s="1"/>
  <c r="I169" i="9"/>
  <c r="G169" i="55" s="1"/>
  <c r="I116" i="9"/>
  <c r="G116" i="55" s="1"/>
  <c r="I285" i="9"/>
  <c r="G285" i="55" s="1"/>
  <c r="I271" i="9"/>
  <c r="G271" i="55" s="1"/>
  <c r="I58" i="9"/>
  <c r="G58" i="55" s="1"/>
  <c r="I216" i="9"/>
  <c r="G216" i="55" s="1"/>
  <c r="I114" i="9"/>
  <c r="G114" i="55" s="1"/>
  <c r="I246" i="9"/>
  <c r="G246" i="55" s="1"/>
  <c r="I192" i="9"/>
  <c r="G192" i="55" s="1"/>
  <c r="I74" i="9"/>
  <c r="G74" i="55" s="1"/>
  <c r="I93" i="9"/>
  <c r="G93" i="55" s="1"/>
  <c r="I203" i="9"/>
  <c r="G203" i="55" s="1"/>
  <c r="I45" i="9"/>
  <c r="G45" i="55" s="1"/>
  <c r="I31" i="9"/>
  <c r="G31" i="55" s="1"/>
  <c r="I241" i="9"/>
  <c r="G241" i="55" s="1"/>
  <c r="I202" i="9"/>
  <c r="G202" i="55" s="1"/>
  <c r="I200" i="9"/>
  <c r="G200" i="55" s="1"/>
  <c r="I76" i="9"/>
  <c r="G76" i="55" s="1"/>
  <c r="I245" i="9"/>
  <c r="G245" i="55" s="1"/>
  <c r="I231" i="9"/>
  <c r="G231" i="55" s="1"/>
  <c r="I42" i="9"/>
  <c r="G42" i="55" s="1"/>
  <c r="I80" i="9"/>
  <c r="G80" i="55" s="1"/>
  <c r="I91" i="9"/>
  <c r="G91" i="55" s="1"/>
  <c r="I276" i="9"/>
  <c r="G276" i="55" s="1"/>
  <c r="I134" i="9"/>
  <c r="G134" i="55" s="1"/>
  <c r="I129" i="9"/>
  <c r="G129" i="55" s="1"/>
  <c r="I224" i="9"/>
  <c r="G224" i="55" s="1"/>
  <c r="I232" i="9"/>
  <c r="G232" i="55" s="1"/>
  <c r="I227" i="9"/>
  <c r="G227" i="55" s="1"/>
  <c r="I69" i="9"/>
  <c r="G69" i="55" s="1"/>
  <c r="I55" i="9"/>
  <c r="G55" i="55" s="1"/>
  <c r="I265" i="9"/>
  <c r="G265" i="55" s="1"/>
  <c r="I233" i="9"/>
  <c r="G233" i="55" s="1"/>
  <c r="I100" i="9"/>
  <c r="G100" i="55" s="1"/>
  <c r="I269" i="9"/>
  <c r="G269" i="55" s="1"/>
  <c r="I255" i="9"/>
  <c r="G255" i="55" s="1"/>
  <c r="I274" i="9"/>
  <c r="G274" i="55" s="1"/>
  <c r="I279" i="9"/>
  <c r="G279" i="55" s="1"/>
  <c r="I44" i="9"/>
  <c r="G44" i="55" s="1"/>
  <c r="I213" i="9"/>
  <c r="G213" i="55" s="1"/>
  <c r="I199" i="9"/>
  <c r="G199" i="55" s="1"/>
  <c r="I258" i="9"/>
  <c r="G258" i="55" s="1"/>
  <c r="I98" i="9"/>
  <c r="G98" i="55" s="1"/>
  <c r="I180" i="9"/>
  <c r="G180" i="55" s="1"/>
  <c r="I38" i="9"/>
  <c r="G38" i="55" s="1"/>
  <c r="I33" i="9"/>
  <c r="G33" i="55" s="1"/>
  <c r="I256" i="9"/>
  <c r="G256" i="55" s="1"/>
  <c r="I170" i="9"/>
  <c r="G170" i="55" s="1"/>
  <c r="I147" i="9"/>
  <c r="G147" i="55" s="1"/>
  <c r="I189" i="9"/>
  <c r="G189" i="55" s="1"/>
  <c r="I9" i="9"/>
  <c r="G9" i="55" s="1"/>
  <c r="I101" i="9"/>
  <c r="G101" i="55" s="1"/>
  <c r="I8" i="9"/>
  <c r="I267" i="9"/>
  <c r="G267" i="55" s="1"/>
  <c r="I109" i="9"/>
  <c r="G109" i="55" s="1"/>
  <c r="I95" i="9"/>
  <c r="G95" i="55" s="1"/>
  <c r="I305" i="9"/>
  <c r="G305" i="55" s="1"/>
  <c r="I178" i="9"/>
  <c r="G178" i="55" s="1"/>
  <c r="I208" i="9"/>
  <c r="G208" i="55" s="1"/>
  <c r="I140" i="9"/>
  <c r="G140" i="55" s="1"/>
  <c r="I254" i="9"/>
  <c r="G254" i="55" s="1"/>
  <c r="I295" i="9"/>
  <c r="G295" i="55" s="1"/>
  <c r="I154" i="9"/>
  <c r="G154" i="55" s="1"/>
  <c r="I210" i="9"/>
  <c r="G210" i="55" s="1"/>
  <c r="I155" i="9"/>
  <c r="G155" i="55" s="1"/>
  <c r="I278" i="9"/>
  <c r="G278" i="55" s="1"/>
  <c r="I198" i="9"/>
  <c r="G198" i="55" s="1"/>
  <c r="I193" i="9"/>
  <c r="G193" i="55" s="1"/>
  <c r="I66" i="9"/>
  <c r="G66" i="55" s="1"/>
  <c r="I176" i="9"/>
  <c r="G176" i="55" s="1"/>
  <c r="I291" i="9"/>
  <c r="G291" i="55" s="1"/>
  <c r="I133" i="9"/>
  <c r="G133" i="55" s="1"/>
  <c r="I119" i="9"/>
  <c r="G119" i="55" s="1"/>
  <c r="I88" i="9"/>
  <c r="G88" i="55" s="1"/>
  <c r="I112" i="9"/>
  <c r="G112" i="55" s="1"/>
  <c r="I50" i="9"/>
  <c r="G50" i="55" s="1"/>
  <c r="I164" i="9"/>
  <c r="G164" i="55" s="1"/>
  <c r="I22" i="9"/>
  <c r="G22" i="55" s="1"/>
  <c r="I17" i="9"/>
  <c r="G17" i="55" s="1"/>
  <c r="I250" i="9"/>
  <c r="G250" i="55" s="1"/>
  <c r="I297" i="9"/>
  <c r="G297" i="55" s="1"/>
  <c r="I108" i="9"/>
  <c r="G108" i="55" s="1"/>
  <c r="I277" i="9"/>
  <c r="G277" i="55" s="1"/>
  <c r="I263" i="9"/>
  <c r="G263" i="55" s="1"/>
  <c r="I26" i="9"/>
  <c r="G26" i="55" s="1"/>
  <c r="I59" i="9"/>
  <c r="G59" i="55" s="1"/>
  <c r="I244" i="9"/>
  <c r="G244" i="55" s="1"/>
  <c r="I102" i="9"/>
  <c r="G102" i="55" s="1"/>
  <c r="I97" i="9"/>
  <c r="G97" i="55" s="1"/>
  <c r="I266" i="9"/>
  <c r="G266" i="55" s="1"/>
  <c r="I132" i="9"/>
  <c r="G132" i="55" s="1"/>
  <c r="I190" i="9"/>
  <c r="G190" i="55" s="1"/>
  <c r="I175" i="9"/>
  <c r="G175" i="55" s="1"/>
  <c r="I171" i="9"/>
  <c r="G171" i="55" s="1"/>
  <c r="I301" i="9"/>
  <c r="G301" i="55" s="1"/>
  <c r="I294" i="9"/>
  <c r="G294" i="55" s="1"/>
  <c r="I173" i="9"/>
  <c r="G173" i="55" s="1"/>
  <c r="I159" i="9"/>
  <c r="G159" i="55" s="1"/>
  <c r="I248" i="9"/>
  <c r="G248" i="55" s="1"/>
  <c r="I240" i="9"/>
  <c r="G240" i="55" s="1"/>
  <c r="I19" i="9"/>
  <c r="G19" i="55" s="1"/>
  <c r="I204" i="9"/>
  <c r="G204" i="55" s="1"/>
  <c r="I62" i="9"/>
  <c r="G62" i="55" s="1"/>
  <c r="I57" i="9"/>
  <c r="G57" i="55" s="1"/>
  <c r="I138" i="9"/>
  <c r="G138" i="55" s="1"/>
  <c r="I136" i="9"/>
  <c r="G136" i="55" s="1"/>
  <c r="I219" i="9"/>
  <c r="G219" i="55" s="1"/>
  <c r="I61" i="9"/>
  <c r="G61" i="55" s="1"/>
  <c r="I47" i="9"/>
  <c r="G47" i="55" s="1"/>
  <c r="I257" i="9"/>
  <c r="G257" i="55" s="1"/>
  <c r="I306" i="9"/>
  <c r="G306" i="55" s="1"/>
  <c r="I195" i="9"/>
  <c r="G195" i="55" s="1"/>
  <c r="I28" i="9"/>
  <c r="G28" i="55" s="1"/>
  <c r="I197" i="9"/>
  <c r="G197" i="55" s="1"/>
  <c r="I183" i="9"/>
  <c r="G183" i="55" s="1"/>
  <c r="I288" i="9"/>
  <c r="G288" i="55" s="1"/>
  <c r="I32" i="9"/>
  <c r="G32" i="55" s="1"/>
  <c r="I43" i="9"/>
  <c r="G43" i="55" s="1"/>
  <c r="I228" i="9"/>
  <c r="G228" i="55" s="1"/>
  <c r="I86" i="9"/>
  <c r="G86" i="55" s="1"/>
  <c r="I81" i="9"/>
  <c r="G81" i="55" s="1"/>
  <c r="I290" i="9"/>
  <c r="G290" i="55" s="1"/>
  <c r="I10" i="9"/>
  <c r="G10" i="55" s="1"/>
  <c r="I172" i="9"/>
  <c r="G172" i="55" s="1"/>
  <c r="I30" i="9"/>
  <c r="G30" i="55" s="1"/>
  <c r="I25" i="9"/>
  <c r="G25" i="55" s="1"/>
  <c r="I104" i="9"/>
  <c r="G104" i="55" s="1"/>
  <c r="I123" i="9"/>
  <c r="G123" i="55" s="1"/>
  <c r="I166" i="9"/>
  <c r="G166" i="55" s="1"/>
  <c r="I161" i="9"/>
  <c r="G161" i="55" s="1"/>
  <c r="I131" i="9"/>
  <c r="G131" i="55" s="1"/>
  <c r="I252" i="9"/>
  <c r="G252" i="55" s="1"/>
  <c r="I20" i="9"/>
  <c r="G20" i="55" s="1"/>
  <c r="I14" i="9"/>
  <c r="G14" i="55" s="1"/>
  <c r="I209" i="9"/>
  <c r="G209" i="55" s="1"/>
  <c r="I153" i="9"/>
  <c r="G153" i="55" s="1"/>
  <c r="I68" i="9"/>
  <c r="G68" i="55" s="1"/>
  <c r="I237" i="9"/>
  <c r="G237" i="55" s="1"/>
  <c r="I223" i="9"/>
  <c r="G223" i="55" s="1"/>
  <c r="I296" i="9"/>
  <c r="G296" i="55" s="1"/>
  <c r="I60" i="9"/>
  <c r="G60" i="55" s="1"/>
  <c r="I83" i="9"/>
  <c r="G83" i="55" s="1"/>
  <c r="I268" i="9"/>
  <c r="G268" i="55" s="1"/>
  <c r="I126" i="9"/>
  <c r="G126" i="55" s="1"/>
  <c r="I121" i="9"/>
  <c r="G121" i="55" s="1"/>
  <c r="I160" i="9"/>
  <c r="G160" i="55" s="1"/>
  <c r="I106" i="9"/>
  <c r="G106" i="55" s="1"/>
  <c r="I283" i="9"/>
  <c r="G283" i="55" s="1"/>
  <c r="I125" i="9"/>
  <c r="G125" i="55" s="1"/>
  <c r="I111" i="9"/>
  <c r="G111" i="55" s="1"/>
  <c r="I56" i="9"/>
  <c r="G56" i="55" s="1"/>
  <c r="I48" i="9"/>
  <c r="G48" i="55" s="1"/>
  <c r="I23" i="9"/>
  <c r="G23" i="55" s="1"/>
  <c r="I92" i="9"/>
  <c r="G92" i="55" s="1"/>
  <c r="I261" i="9"/>
  <c r="G261" i="55" s="1"/>
  <c r="I247" i="9"/>
  <c r="G247" i="55" s="1"/>
  <c r="I82" i="9"/>
  <c r="G82" i="55" s="1"/>
  <c r="I144" i="9"/>
  <c r="G144" i="55" s="1"/>
  <c r="I107" i="9"/>
  <c r="G107" i="55" s="1"/>
  <c r="I292" i="9"/>
  <c r="G292" i="55" s="1"/>
  <c r="I150" i="9"/>
  <c r="G150" i="55" s="1"/>
  <c r="I145" i="9"/>
  <c r="G145" i="55" s="1"/>
  <c r="I64" i="9"/>
  <c r="G64" i="55" s="1"/>
  <c r="I51" i="9"/>
  <c r="G51" i="55" s="1"/>
  <c r="I236" i="9"/>
  <c r="G236" i="55" s="1"/>
  <c r="I94" i="9"/>
  <c r="G94" i="55" s="1"/>
  <c r="I89" i="9"/>
  <c r="G89" i="55" s="1"/>
  <c r="I262" i="9"/>
  <c r="G262" i="55" s="1"/>
  <c r="I187" i="9"/>
  <c r="G187" i="55" s="1"/>
  <c r="I29" i="9"/>
  <c r="G29" i="55" s="1"/>
  <c r="I15" i="9"/>
  <c r="G15" i="55" s="1"/>
  <c r="I225" i="9"/>
  <c r="G225" i="55" s="1"/>
  <c r="I188" i="9"/>
  <c r="G188" i="55" s="1"/>
  <c r="G308" i="9"/>
  <c r="S308" i="29"/>
  <c r="S311" i="29" s="1"/>
  <c r="T220" i="29" s="1"/>
  <c r="U220" i="29" s="1"/>
  <c r="U220" i="55" s="1"/>
  <c r="E11" i="57" l="1"/>
  <c r="G8" i="55"/>
  <c r="I2" i="9"/>
  <c r="U253" i="55"/>
  <c r="U37" i="45"/>
  <c r="I253" i="9"/>
  <c r="N10" i="45" s="1"/>
  <c r="T308" i="29"/>
  <c r="T3" i="29" s="1"/>
  <c r="I308" i="9"/>
  <c r="G253" i="55" l="1"/>
  <c r="G308" i="55" s="1"/>
  <c r="N36" i="45"/>
  <c r="U308" i="55"/>
  <c r="U308" i="29"/>
  <c r="U3" i="29" s="1"/>
  <c r="U308" i="2" l="1"/>
  <c r="O308" i="2"/>
  <c r="P308" i="2"/>
  <c r="I308" i="2"/>
  <c r="H308" i="2"/>
  <c r="J308" i="2"/>
  <c r="M308" i="2"/>
  <c r="G308" i="2"/>
  <c r="T4" i="2" l="1" a="1"/>
  <c r="T4" i="2" s="1"/>
  <c r="H18" i="59" s="1"/>
  <c r="V308" i="2"/>
  <c r="T8" i="2" l="1"/>
  <c r="W8" i="2" s="1"/>
  <c r="D8" i="3" s="1"/>
  <c r="T22" i="2"/>
  <c r="W22" i="2" s="1"/>
  <c r="D22" i="3" s="1"/>
  <c r="F22" i="3" s="1"/>
  <c r="T181" i="2"/>
  <c r="W181" i="2" s="1"/>
  <c r="D181" i="3" s="1"/>
  <c r="F181" i="3" s="1"/>
  <c r="T288" i="2"/>
  <c r="W288" i="2" s="1"/>
  <c r="D288" i="3" s="1"/>
  <c r="F288" i="3" s="1"/>
  <c r="T104" i="2"/>
  <c r="W104" i="2" s="1"/>
  <c r="D104" i="3" s="1"/>
  <c r="F104" i="3" s="1"/>
  <c r="T303" i="2"/>
  <c r="W303" i="2" s="1"/>
  <c r="D303" i="3" s="1"/>
  <c r="F303" i="3" s="1"/>
  <c r="T151" i="2"/>
  <c r="W151" i="2" s="1"/>
  <c r="D151" i="3" s="1"/>
  <c r="F151" i="3" s="1"/>
  <c r="T38" i="2"/>
  <c r="W38" i="2" s="1"/>
  <c r="D38" i="3" s="1"/>
  <c r="F38" i="3" s="1"/>
  <c r="T180" i="2"/>
  <c r="W180" i="2" s="1"/>
  <c r="D180" i="3" s="1"/>
  <c r="F180" i="3" s="1"/>
  <c r="T278" i="2"/>
  <c r="W278" i="2" s="1"/>
  <c r="D278" i="3" s="1"/>
  <c r="F278" i="3" s="1"/>
  <c r="T259" i="2"/>
  <c r="W259" i="2" s="1"/>
  <c r="D259" i="3" s="1"/>
  <c r="F259" i="3" s="1"/>
  <c r="T75" i="2"/>
  <c r="W75" i="2" s="1"/>
  <c r="D75" i="3" s="1"/>
  <c r="F75" i="3" s="1"/>
  <c r="T298" i="2"/>
  <c r="W298" i="2" s="1"/>
  <c r="D298" i="3" s="1"/>
  <c r="F298" i="3" s="1"/>
  <c r="T146" i="2"/>
  <c r="W146" i="2" s="1"/>
  <c r="D146" i="3" s="1"/>
  <c r="F146" i="3" s="1"/>
  <c r="T78" i="2"/>
  <c r="W78" i="2" s="1"/>
  <c r="D78" i="3" s="1"/>
  <c r="F78" i="3" s="1"/>
  <c r="T201" i="2"/>
  <c r="W201" i="2" s="1"/>
  <c r="D201" i="3" s="1"/>
  <c r="F201" i="3" s="1"/>
  <c r="T49" i="2"/>
  <c r="W49" i="2" s="1"/>
  <c r="D49" i="3" s="1"/>
  <c r="F49" i="3" s="1"/>
  <c r="T248" i="2"/>
  <c r="W248" i="2" s="1"/>
  <c r="D248" i="3" s="1"/>
  <c r="F248" i="3" s="1"/>
  <c r="T96" i="2"/>
  <c r="W96" i="2" s="1"/>
  <c r="D96" i="3" s="1"/>
  <c r="F96" i="3" s="1"/>
  <c r="T287" i="2"/>
  <c r="W287" i="2" s="1"/>
  <c r="D287" i="3" s="1"/>
  <c r="F287" i="3" s="1"/>
  <c r="T111" i="2"/>
  <c r="W111" i="2" s="1"/>
  <c r="D111" i="3" s="1"/>
  <c r="F111" i="3" s="1"/>
  <c r="T277" i="2"/>
  <c r="W277" i="2" s="1"/>
  <c r="D277" i="3" s="1"/>
  <c r="F277" i="3" s="1"/>
  <c r="T172" i="2"/>
  <c r="W172" i="2" s="1"/>
  <c r="D172" i="3" s="1"/>
  <c r="F172" i="3" s="1"/>
  <c r="T190" i="2"/>
  <c r="W190" i="2" s="1"/>
  <c r="D190" i="3" s="1"/>
  <c r="F190" i="3" s="1"/>
  <c r="T219" i="2"/>
  <c r="W219" i="2" s="1"/>
  <c r="D219" i="3" s="1"/>
  <c r="F219" i="3" s="1"/>
  <c r="T67" i="2"/>
  <c r="W67" i="2" s="1"/>
  <c r="D67" i="3" s="1"/>
  <c r="F67" i="3" s="1"/>
  <c r="T282" i="2"/>
  <c r="W282" i="2" s="1"/>
  <c r="D282" i="3" s="1"/>
  <c r="F282" i="3" s="1"/>
  <c r="T106" i="2"/>
  <c r="W106" i="2" s="1"/>
  <c r="D106" i="3" s="1"/>
  <c r="F106" i="3" s="1"/>
  <c r="T54" i="2"/>
  <c r="W54" i="2" s="1"/>
  <c r="D54" i="3" s="1"/>
  <c r="F54" i="3" s="1"/>
  <c r="T185" i="2"/>
  <c r="W185" i="2" s="1"/>
  <c r="D185" i="3" s="1"/>
  <c r="F185" i="3" s="1"/>
  <c r="T9" i="2"/>
  <c r="W9" i="2" s="1"/>
  <c r="D9" i="3" s="1"/>
  <c r="F9" i="3" s="1"/>
  <c r="T196" i="2"/>
  <c r="W196" i="2" s="1"/>
  <c r="D196" i="3" s="1"/>
  <c r="F196" i="3" s="1"/>
  <c r="T232" i="2"/>
  <c r="W232" i="2" s="1"/>
  <c r="D232" i="3" s="1"/>
  <c r="F232" i="3" s="1"/>
  <c r="T56" i="2"/>
  <c r="W56" i="2" s="1"/>
  <c r="D56" i="3" s="1"/>
  <c r="F56" i="3" s="1"/>
  <c r="T279" i="2"/>
  <c r="W279" i="2" s="1"/>
  <c r="D279" i="3" s="1"/>
  <c r="F279" i="3" s="1"/>
  <c r="T95" i="2"/>
  <c r="W95" i="2" s="1"/>
  <c r="D95" i="3" s="1"/>
  <c r="F95" i="3" s="1"/>
  <c r="T53" i="2"/>
  <c r="W53" i="2" s="1"/>
  <c r="D53" i="3" s="1"/>
  <c r="F53" i="3" s="1"/>
  <c r="T132" i="2"/>
  <c r="W132" i="2" s="1"/>
  <c r="D132" i="3" s="1"/>
  <c r="F132" i="3" s="1"/>
  <c r="T150" i="2"/>
  <c r="W150" i="2" s="1"/>
  <c r="D150" i="3" s="1"/>
  <c r="F150" i="3" s="1"/>
  <c r="T203" i="2"/>
  <c r="W203" i="2" s="1"/>
  <c r="D203" i="3" s="1"/>
  <c r="F203" i="3" s="1"/>
  <c r="T27" i="2"/>
  <c r="W27" i="2" s="1"/>
  <c r="D27" i="3" s="1"/>
  <c r="F27" i="3" s="1"/>
  <c r="T274" i="2"/>
  <c r="W274" i="2" s="1"/>
  <c r="D274" i="3" s="1"/>
  <c r="F274" i="3" s="1"/>
  <c r="T90" i="2"/>
  <c r="W90" i="2" s="1"/>
  <c r="D90" i="3" s="1"/>
  <c r="F90" i="3" s="1"/>
  <c r="T133" i="2"/>
  <c r="W133" i="2" s="1"/>
  <c r="D133" i="3" s="1"/>
  <c r="F133" i="3" s="1"/>
  <c r="T177" i="2"/>
  <c r="W177" i="2" s="1"/>
  <c r="D177" i="3" s="1"/>
  <c r="F177" i="3" s="1"/>
  <c r="T159" i="2"/>
  <c r="W159" i="2" s="1"/>
  <c r="D159" i="3" s="1"/>
  <c r="F159" i="3" s="1"/>
  <c r="T91" i="2"/>
  <c r="W91" i="2" s="1"/>
  <c r="D91" i="3" s="1"/>
  <c r="F91" i="3" s="1"/>
  <c r="T57" i="2"/>
  <c r="W57" i="2" s="1"/>
  <c r="D57" i="3" s="1"/>
  <c r="F57" i="3" s="1"/>
  <c r="T110" i="2"/>
  <c r="W110" i="2" s="1"/>
  <c r="D110" i="3" s="1"/>
  <c r="F110" i="3" s="1"/>
  <c r="T224" i="2"/>
  <c r="W224" i="2" s="1"/>
  <c r="D224" i="3" s="1"/>
  <c r="F224" i="3" s="1"/>
  <c r="T40" i="2"/>
  <c r="W40" i="2" s="1"/>
  <c r="D40" i="3" s="1"/>
  <c r="F40" i="3" s="1"/>
  <c r="T239" i="2"/>
  <c r="W239" i="2" s="1"/>
  <c r="D239" i="3" s="1"/>
  <c r="F239" i="3" s="1"/>
  <c r="T87" i="2"/>
  <c r="W87" i="2" s="1"/>
  <c r="D87" i="3" s="1"/>
  <c r="F87" i="3" s="1"/>
  <c r="T300" i="2"/>
  <c r="W300" i="2" s="1"/>
  <c r="D300" i="3" s="1"/>
  <c r="F300" i="3" s="1"/>
  <c r="T116" i="2"/>
  <c r="W116" i="2" s="1"/>
  <c r="D116" i="3" s="1"/>
  <c r="F116" i="3" s="1"/>
  <c r="T189" i="2"/>
  <c r="W189" i="2" s="1"/>
  <c r="D189" i="3" s="1"/>
  <c r="F189" i="3" s="1"/>
  <c r="T195" i="2"/>
  <c r="W195" i="2" s="1"/>
  <c r="D195" i="3" s="1"/>
  <c r="F195" i="3" s="1"/>
  <c r="T11" i="2"/>
  <c r="W11" i="2" s="1"/>
  <c r="D11" i="3" s="1"/>
  <c r="F11" i="3" s="1"/>
  <c r="T234" i="2"/>
  <c r="W234" i="2" s="1"/>
  <c r="D234" i="3" s="1"/>
  <c r="F234" i="3" s="1"/>
  <c r="T82" i="2"/>
  <c r="W82" i="2" s="1"/>
  <c r="D82" i="3" s="1"/>
  <c r="F82" i="3" s="1"/>
  <c r="T13" i="2"/>
  <c r="W13" i="2" s="1"/>
  <c r="D13" i="3" s="1"/>
  <c r="F13" i="3" s="1"/>
  <c r="T137" i="2"/>
  <c r="W137" i="2" s="1"/>
  <c r="D137" i="3" s="1"/>
  <c r="F137" i="3" s="1"/>
  <c r="T120" i="2"/>
  <c r="W120" i="2" s="1"/>
  <c r="D120" i="3" s="1"/>
  <c r="F120" i="3" s="1"/>
  <c r="T44" i="2"/>
  <c r="W44" i="2" s="1"/>
  <c r="D44" i="3" s="1"/>
  <c r="F44" i="3" s="1"/>
  <c r="T166" i="2"/>
  <c r="W166" i="2" s="1"/>
  <c r="D166" i="3" s="1"/>
  <c r="F166" i="3" s="1"/>
  <c r="T14" i="2"/>
  <c r="W14" i="2" s="1"/>
  <c r="D14" i="3" s="1"/>
  <c r="F14" i="3" s="1"/>
  <c r="T184" i="2"/>
  <c r="W184" i="2" s="1"/>
  <c r="D184" i="3" s="1"/>
  <c r="F184" i="3" s="1"/>
  <c r="T32" i="2"/>
  <c r="W32" i="2" s="1"/>
  <c r="D32" i="3" s="1"/>
  <c r="F32" i="3" s="1"/>
  <c r="T223" i="2"/>
  <c r="W223" i="2" s="1"/>
  <c r="D223" i="3" s="1"/>
  <c r="F223" i="3" s="1"/>
  <c r="T47" i="2"/>
  <c r="W47" i="2" s="1"/>
  <c r="D47" i="3" s="1"/>
  <c r="F47" i="3" s="1"/>
  <c r="T260" i="2"/>
  <c r="W260" i="2" s="1"/>
  <c r="D260" i="3" s="1"/>
  <c r="F260" i="3" s="1"/>
  <c r="T108" i="2"/>
  <c r="W108" i="2" s="1"/>
  <c r="D108" i="3" s="1"/>
  <c r="F108" i="3" s="1"/>
  <c r="T109" i="2"/>
  <c r="W109" i="2" s="1"/>
  <c r="D109" i="3" s="1"/>
  <c r="F109" i="3" s="1"/>
  <c r="T155" i="2"/>
  <c r="W155" i="2" s="1"/>
  <c r="D155" i="3" s="1"/>
  <c r="F155" i="3" s="1"/>
  <c r="T294" i="2"/>
  <c r="W294" i="2" s="1"/>
  <c r="D294" i="3" s="1"/>
  <c r="F294" i="3" s="1"/>
  <c r="T218" i="2"/>
  <c r="W218" i="2" s="1"/>
  <c r="D218" i="3" s="1"/>
  <c r="F218" i="3" s="1"/>
  <c r="T42" i="2"/>
  <c r="W42" i="2" s="1"/>
  <c r="D42" i="3" s="1"/>
  <c r="F42" i="3" s="1"/>
  <c r="T305" i="2"/>
  <c r="W305" i="2" s="1"/>
  <c r="D305" i="3" s="1"/>
  <c r="F305" i="3" s="1"/>
  <c r="T121" i="2"/>
  <c r="W121" i="2" s="1"/>
  <c r="D121" i="3" s="1"/>
  <c r="F121" i="3" s="1"/>
  <c r="T296" i="2"/>
  <c r="W296" i="2" s="1"/>
  <c r="D296" i="3" s="1"/>
  <c r="F296" i="3" s="1"/>
  <c r="T267" i="2"/>
  <c r="W267" i="2" s="1"/>
  <c r="D267" i="3" s="1"/>
  <c r="F267" i="3" s="1"/>
  <c r="T241" i="2"/>
  <c r="W241" i="2" s="1"/>
  <c r="D241" i="3" s="1"/>
  <c r="F241" i="3" s="1"/>
  <c r="T253" i="2"/>
  <c r="W253" i="2" s="1"/>
  <c r="D253" i="3" s="1"/>
  <c r="F253" i="3" s="1"/>
  <c r="T168" i="2"/>
  <c r="W168" i="2" s="1"/>
  <c r="D168" i="3" s="1"/>
  <c r="F168" i="3" s="1"/>
  <c r="T182" i="2"/>
  <c r="W182" i="2" s="1"/>
  <c r="D182" i="3" s="1"/>
  <c r="F182" i="3" s="1"/>
  <c r="T215" i="2"/>
  <c r="W215" i="2" s="1"/>
  <c r="D215" i="3" s="1"/>
  <c r="F215" i="3" s="1"/>
  <c r="T31" i="2"/>
  <c r="W31" i="2" s="1"/>
  <c r="D31" i="3" s="1"/>
  <c r="F31" i="3" s="1"/>
  <c r="T244" i="2"/>
  <c r="W244" i="2" s="1"/>
  <c r="D244" i="3" s="1"/>
  <c r="F244" i="3" s="1"/>
  <c r="T68" i="2"/>
  <c r="W68" i="2" s="1"/>
  <c r="D68" i="3" s="1"/>
  <c r="F68" i="3" s="1"/>
  <c r="T61" i="2"/>
  <c r="W61" i="2" s="1"/>
  <c r="D61" i="3" s="1"/>
  <c r="F61" i="3" s="1"/>
  <c r="T139" i="2"/>
  <c r="W139" i="2" s="1"/>
  <c r="D139" i="3" s="1"/>
  <c r="F139" i="3" s="1"/>
  <c r="T30" i="2"/>
  <c r="W30" i="2" s="1"/>
  <c r="D30" i="3" s="1"/>
  <c r="F30" i="3" s="1"/>
  <c r="T210" i="2"/>
  <c r="W210" i="2" s="1"/>
  <c r="D210" i="3" s="1"/>
  <c r="F210" i="3" s="1"/>
  <c r="T26" i="2"/>
  <c r="W26" i="2" s="1"/>
  <c r="D26" i="3" s="1"/>
  <c r="F26" i="3" s="1"/>
  <c r="T265" i="2"/>
  <c r="W265" i="2" s="1"/>
  <c r="D265" i="3" s="1"/>
  <c r="F265" i="3" s="1"/>
  <c r="T113" i="2"/>
  <c r="W113" i="2" s="1"/>
  <c r="D113" i="3" s="1"/>
  <c r="F113" i="3" s="1"/>
  <c r="T126" i="2"/>
  <c r="W126" i="2" s="1"/>
  <c r="D126" i="3" s="1"/>
  <c r="F126" i="3" s="1"/>
  <c r="T154" i="2"/>
  <c r="W154" i="2" s="1"/>
  <c r="D154" i="3" s="1"/>
  <c r="F154" i="3" s="1"/>
  <c r="T45" i="2"/>
  <c r="W45" i="2" s="1"/>
  <c r="D45" i="3" s="1"/>
  <c r="F45" i="3" s="1"/>
  <c r="T160" i="2"/>
  <c r="W160" i="2" s="1"/>
  <c r="D160" i="3" s="1"/>
  <c r="F160" i="3" s="1"/>
  <c r="T70" i="2"/>
  <c r="W70" i="2" s="1"/>
  <c r="D70" i="3" s="1"/>
  <c r="F70" i="3" s="1"/>
  <c r="T175" i="2"/>
  <c r="W175" i="2" s="1"/>
  <c r="D175" i="3" s="1"/>
  <c r="F175" i="3" s="1"/>
  <c r="T23" i="2"/>
  <c r="W23" i="2" s="1"/>
  <c r="D23" i="3" s="1"/>
  <c r="F23" i="3" s="1"/>
  <c r="T236" i="2"/>
  <c r="W236" i="2" s="1"/>
  <c r="D236" i="3" s="1"/>
  <c r="F236" i="3" s="1"/>
  <c r="T52" i="2"/>
  <c r="W52" i="2" s="1"/>
  <c r="D52" i="3" s="1"/>
  <c r="F52" i="3" s="1"/>
  <c r="T283" i="2"/>
  <c r="W283" i="2" s="1"/>
  <c r="D283" i="3" s="1"/>
  <c r="F283" i="3" s="1"/>
  <c r="T131" i="2"/>
  <c r="W131" i="2" s="1"/>
  <c r="D131" i="3" s="1"/>
  <c r="F131" i="3" s="1"/>
  <c r="T237" i="2"/>
  <c r="W237" i="2" s="1"/>
  <c r="D237" i="3" s="1"/>
  <c r="F237" i="3" s="1"/>
  <c r="T170" i="2"/>
  <c r="W170" i="2" s="1"/>
  <c r="D170" i="3" s="1"/>
  <c r="F170" i="3" s="1"/>
  <c r="T18" i="2"/>
  <c r="W18" i="2" s="1"/>
  <c r="D18" i="3" s="1"/>
  <c r="F18" i="3" s="1"/>
  <c r="T249" i="2"/>
  <c r="W249" i="2" s="1"/>
  <c r="D249" i="3" s="1"/>
  <c r="F249" i="3" s="1"/>
  <c r="T73" i="2"/>
  <c r="W73" i="2" s="1"/>
  <c r="D73" i="3" s="1"/>
  <c r="F73" i="3" s="1"/>
  <c r="T213" i="2"/>
  <c r="W213" i="2" s="1"/>
  <c r="D213" i="3" s="1"/>
  <c r="F213" i="3" s="1"/>
  <c r="T280" i="2"/>
  <c r="W280" i="2" s="1"/>
  <c r="D280" i="3" s="1"/>
  <c r="F280" i="3" s="1"/>
  <c r="T216" i="2"/>
  <c r="W216" i="2" s="1"/>
  <c r="D216" i="3" s="1"/>
  <c r="F216" i="3" s="1"/>
  <c r="T152" i="2"/>
  <c r="W152" i="2" s="1"/>
  <c r="D152" i="3" s="1"/>
  <c r="F152" i="3" s="1"/>
  <c r="T88" i="2"/>
  <c r="W88" i="2" s="1"/>
  <c r="D88" i="3" s="1"/>
  <c r="F88" i="3" s="1"/>
  <c r="T24" i="2"/>
  <c r="W24" i="2" s="1"/>
  <c r="D24" i="3" s="1"/>
  <c r="F24" i="3" s="1"/>
  <c r="T269" i="2"/>
  <c r="W269" i="2" s="1"/>
  <c r="D269" i="3" s="1"/>
  <c r="F269" i="3" s="1"/>
  <c r="T271" i="2"/>
  <c r="W271" i="2" s="1"/>
  <c r="D271" i="3" s="1"/>
  <c r="F271" i="3" s="1"/>
  <c r="T207" i="2"/>
  <c r="W207" i="2" s="1"/>
  <c r="D207" i="3" s="1"/>
  <c r="F207" i="3" s="1"/>
  <c r="T143" i="2"/>
  <c r="W143" i="2" s="1"/>
  <c r="D143" i="3" s="1"/>
  <c r="F143" i="3" s="1"/>
  <c r="T79" i="2"/>
  <c r="W79" i="2" s="1"/>
  <c r="D79" i="3" s="1"/>
  <c r="F79" i="3" s="1"/>
  <c r="T15" i="2"/>
  <c r="W15" i="2" s="1"/>
  <c r="D15" i="3" s="1"/>
  <c r="F15" i="3" s="1"/>
  <c r="T245" i="2"/>
  <c r="W245" i="2" s="1"/>
  <c r="D245" i="3" s="1"/>
  <c r="F245" i="3" s="1"/>
  <c r="T292" i="2"/>
  <c r="W292" i="2" s="1"/>
  <c r="D292" i="3" s="1"/>
  <c r="F292" i="3" s="1"/>
  <c r="T228" i="2"/>
  <c r="W228" i="2" s="1"/>
  <c r="D228" i="3" s="1"/>
  <c r="F228" i="3" s="1"/>
  <c r="T164" i="2"/>
  <c r="W164" i="2" s="1"/>
  <c r="D164" i="3" s="1"/>
  <c r="F164" i="3" s="1"/>
  <c r="T100" i="2"/>
  <c r="W100" i="2" s="1"/>
  <c r="D100" i="3" s="1"/>
  <c r="F100" i="3" s="1"/>
  <c r="T36" i="2"/>
  <c r="W36" i="2" s="1"/>
  <c r="D36" i="3" s="1"/>
  <c r="F36" i="3" s="1"/>
  <c r="T102" i="2"/>
  <c r="W102" i="2" s="1"/>
  <c r="D102" i="3" s="1"/>
  <c r="F102" i="3" s="1"/>
  <c r="T37" i="2"/>
  <c r="W37" i="2" s="1"/>
  <c r="D37" i="3" s="1"/>
  <c r="F37" i="3" s="1"/>
  <c r="T251" i="2"/>
  <c r="W251" i="2" s="1"/>
  <c r="D251" i="3" s="1"/>
  <c r="F251" i="3" s="1"/>
  <c r="T187" i="2"/>
  <c r="W187" i="2" s="1"/>
  <c r="D187" i="3" s="1"/>
  <c r="F187" i="3" s="1"/>
  <c r="T123" i="2"/>
  <c r="W123" i="2" s="1"/>
  <c r="D123" i="3" s="1"/>
  <c r="F123" i="3" s="1"/>
  <c r="T59" i="2"/>
  <c r="W59" i="2" s="1"/>
  <c r="D59" i="3" s="1"/>
  <c r="F59" i="3" s="1"/>
  <c r="T246" i="2"/>
  <c r="W246" i="2" s="1"/>
  <c r="D246" i="3" s="1"/>
  <c r="F246" i="3" s="1"/>
  <c r="T125" i="2"/>
  <c r="W125" i="2" s="1"/>
  <c r="D125" i="3" s="1"/>
  <c r="F125" i="3" s="1"/>
  <c r="T266" i="2"/>
  <c r="W266" i="2" s="1"/>
  <c r="D266" i="3" s="1"/>
  <c r="F266" i="3" s="1"/>
  <c r="T202" i="2"/>
  <c r="W202" i="2" s="1"/>
  <c r="D202" i="3" s="1"/>
  <c r="F202" i="3" s="1"/>
  <c r="T138" i="2"/>
  <c r="W138" i="2" s="1"/>
  <c r="D138" i="3" s="1"/>
  <c r="F138" i="3" s="1"/>
  <c r="T74" i="2"/>
  <c r="W74" i="2" s="1"/>
  <c r="D74" i="3" s="1"/>
  <c r="F74" i="3" s="1"/>
  <c r="T10" i="2"/>
  <c r="W10" i="2" s="1"/>
  <c r="D10" i="3" s="1"/>
  <c r="F10" i="3" s="1"/>
  <c r="T301" i="2"/>
  <c r="W301" i="2" s="1"/>
  <c r="D301" i="3" s="1"/>
  <c r="F301" i="3" s="1"/>
  <c r="T297" i="2"/>
  <c r="W297" i="2" s="1"/>
  <c r="D297" i="3" s="1"/>
  <c r="F297" i="3" s="1"/>
  <c r="T233" i="2"/>
  <c r="W233" i="2" s="1"/>
  <c r="D233" i="3" s="1"/>
  <c r="F233" i="3" s="1"/>
  <c r="T169" i="2"/>
  <c r="W169" i="2" s="1"/>
  <c r="D169" i="3" s="1"/>
  <c r="F169" i="3" s="1"/>
  <c r="T105" i="2"/>
  <c r="W105" i="2" s="1"/>
  <c r="D105" i="3" s="1"/>
  <c r="F105" i="3" s="1"/>
  <c r="T41" i="2"/>
  <c r="W41" i="2" s="1"/>
  <c r="D41" i="3" s="1"/>
  <c r="F41" i="3" s="1"/>
  <c r="T254" i="2"/>
  <c r="W254" i="2" s="1"/>
  <c r="D254" i="3" s="1"/>
  <c r="F254" i="3" s="1"/>
  <c r="T165" i="2"/>
  <c r="W165" i="2" s="1"/>
  <c r="D165" i="3" s="1"/>
  <c r="F165" i="3" s="1"/>
  <c r="T272" i="2"/>
  <c r="W272" i="2" s="1"/>
  <c r="D272" i="3" s="1"/>
  <c r="F272" i="3" s="1"/>
  <c r="T208" i="2"/>
  <c r="W208" i="2" s="1"/>
  <c r="D208" i="3" s="1"/>
  <c r="F208" i="3" s="1"/>
  <c r="T144" i="2"/>
  <c r="W144" i="2" s="1"/>
  <c r="D144" i="3" s="1"/>
  <c r="F144" i="3" s="1"/>
  <c r="T80" i="2"/>
  <c r="W80" i="2" s="1"/>
  <c r="D80" i="3" s="1"/>
  <c r="F80" i="3" s="1"/>
  <c r="T16" i="2"/>
  <c r="W16" i="2" s="1"/>
  <c r="D16" i="3" s="1"/>
  <c r="F16" i="3" s="1"/>
  <c r="T205" i="2"/>
  <c r="W205" i="2" s="1"/>
  <c r="D205" i="3" s="1"/>
  <c r="F205" i="3" s="1"/>
  <c r="T263" i="2"/>
  <c r="W263" i="2" s="1"/>
  <c r="D263" i="3" s="1"/>
  <c r="F263" i="3" s="1"/>
  <c r="T199" i="2"/>
  <c r="W199" i="2" s="1"/>
  <c r="D199" i="3" s="1"/>
  <c r="F199" i="3" s="1"/>
  <c r="T135" i="2"/>
  <c r="W135" i="2" s="1"/>
  <c r="D135" i="3" s="1"/>
  <c r="F135" i="3" s="1"/>
  <c r="T71" i="2"/>
  <c r="W71" i="2" s="1"/>
  <c r="D71" i="3" s="1"/>
  <c r="F71" i="3" s="1"/>
  <c r="T262" i="2"/>
  <c r="W262" i="2" s="1"/>
  <c r="D262" i="3" s="1"/>
  <c r="F262" i="3" s="1"/>
  <c r="T197" i="2"/>
  <c r="W197" i="2" s="1"/>
  <c r="D197" i="3" s="1"/>
  <c r="F197" i="3" s="1"/>
  <c r="T284" i="2"/>
  <c r="W284" i="2" s="1"/>
  <c r="D284" i="3" s="1"/>
  <c r="F284" i="3" s="1"/>
  <c r="T220" i="2"/>
  <c r="W220" i="2" s="1"/>
  <c r="D220" i="3" s="1"/>
  <c r="F220" i="3" s="1"/>
  <c r="T156" i="2"/>
  <c r="W156" i="2" s="1"/>
  <c r="D156" i="3" s="1"/>
  <c r="F156" i="3" s="1"/>
  <c r="T92" i="2"/>
  <c r="W92" i="2" s="1"/>
  <c r="D92" i="3" s="1"/>
  <c r="F92" i="3" s="1"/>
  <c r="T28" i="2"/>
  <c r="W28" i="2" s="1"/>
  <c r="D28" i="3" s="1"/>
  <c r="F28" i="3" s="1"/>
  <c r="T46" i="2"/>
  <c r="W46" i="2" s="1"/>
  <c r="D46" i="3" s="1"/>
  <c r="F46" i="3" s="1"/>
  <c r="T307" i="2"/>
  <c r="W307" i="2" s="1"/>
  <c r="D307" i="3" s="1"/>
  <c r="F307" i="3" s="1"/>
  <c r="T243" i="2"/>
  <c r="W243" i="2" s="1"/>
  <c r="D243" i="3" s="1"/>
  <c r="F243" i="3" s="1"/>
  <c r="T179" i="2"/>
  <c r="W179" i="2" s="1"/>
  <c r="D179" i="3" s="1"/>
  <c r="F179" i="3" s="1"/>
  <c r="T115" i="2"/>
  <c r="W115" i="2" s="1"/>
  <c r="D115" i="3" s="1"/>
  <c r="F115" i="3" s="1"/>
  <c r="T51" i="2"/>
  <c r="W51" i="2" s="1"/>
  <c r="D51" i="3" s="1"/>
  <c r="F51" i="3" s="1"/>
  <c r="T198" i="2"/>
  <c r="W198" i="2" s="1"/>
  <c r="D198" i="3" s="1"/>
  <c r="F198" i="3" s="1"/>
  <c r="T77" i="2"/>
  <c r="W77" i="2" s="1"/>
  <c r="D77" i="3" s="1"/>
  <c r="F77" i="3" s="1"/>
  <c r="T258" i="2"/>
  <c r="W258" i="2" s="1"/>
  <c r="D258" i="3" s="1"/>
  <c r="F258" i="3" s="1"/>
  <c r="T194" i="2"/>
  <c r="W194" i="2" s="1"/>
  <c r="D194" i="3" s="1"/>
  <c r="F194" i="3" s="1"/>
  <c r="T130" i="2"/>
  <c r="W130" i="2" s="1"/>
  <c r="D130" i="3" s="1"/>
  <c r="F130" i="3" s="1"/>
  <c r="T66" i="2"/>
  <c r="W66" i="2" s="1"/>
  <c r="D66" i="3" s="1"/>
  <c r="F66" i="3" s="1"/>
  <c r="T302" i="2"/>
  <c r="W302" i="2" s="1"/>
  <c r="D302" i="3" s="1"/>
  <c r="F302" i="3" s="1"/>
  <c r="T261" i="2"/>
  <c r="W261" i="2" s="1"/>
  <c r="D261" i="3" s="1"/>
  <c r="F261" i="3" s="1"/>
  <c r="T289" i="2"/>
  <c r="W289" i="2" s="1"/>
  <c r="D289" i="3" s="1"/>
  <c r="F289" i="3" s="1"/>
  <c r="T225" i="2"/>
  <c r="W225" i="2" s="1"/>
  <c r="D225" i="3" s="1"/>
  <c r="F225" i="3" s="1"/>
  <c r="T161" i="2"/>
  <c r="W161" i="2" s="1"/>
  <c r="D161" i="3" s="1"/>
  <c r="F161" i="3" s="1"/>
  <c r="T97" i="2"/>
  <c r="W97" i="2" s="1"/>
  <c r="D97" i="3" s="1"/>
  <c r="F97" i="3" s="1"/>
  <c r="T33" i="2"/>
  <c r="W33" i="2" s="1"/>
  <c r="D33" i="3" s="1"/>
  <c r="F33" i="3" s="1"/>
  <c r="T206" i="2"/>
  <c r="W206" i="2" s="1"/>
  <c r="D206" i="3" s="1"/>
  <c r="F206" i="3" s="1"/>
  <c r="T117" i="2"/>
  <c r="W117" i="2" s="1"/>
  <c r="D117" i="3" s="1"/>
  <c r="F117" i="3" s="1"/>
  <c r="T264" i="2"/>
  <c r="W264" i="2" s="1"/>
  <c r="D264" i="3" s="1"/>
  <c r="F264" i="3" s="1"/>
  <c r="T200" i="2"/>
  <c r="W200" i="2" s="1"/>
  <c r="D200" i="3" s="1"/>
  <c r="F200" i="3" s="1"/>
  <c r="T136" i="2"/>
  <c r="W136" i="2" s="1"/>
  <c r="D136" i="3" s="1"/>
  <c r="F136" i="3" s="1"/>
  <c r="T72" i="2"/>
  <c r="W72" i="2" s="1"/>
  <c r="D72" i="3" s="1"/>
  <c r="F72" i="3" s="1"/>
  <c r="T286" i="2"/>
  <c r="W286" i="2" s="1"/>
  <c r="D286" i="3" s="1"/>
  <c r="F286" i="3" s="1"/>
  <c r="T141" i="2"/>
  <c r="W141" i="2" s="1"/>
  <c r="D141" i="3" s="1"/>
  <c r="F141" i="3" s="1"/>
  <c r="T255" i="2"/>
  <c r="W255" i="2" s="1"/>
  <c r="D255" i="3" s="1"/>
  <c r="F255" i="3" s="1"/>
  <c r="T191" i="2"/>
  <c r="W191" i="2" s="1"/>
  <c r="D191" i="3" s="1"/>
  <c r="F191" i="3" s="1"/>
  <c r="T127" i="2"/>
  <c r="W127" i="2" s="1"/>
  <c r="D127" i="3" s="1"/>
  <c r="F127" i="3" s="1"/>
  <c r="T63" i="2"/>
  <c r="W63" i="2" s="1"/>
  <c r="D63" i="3" s="1"/>
  <c r="F63" i="3" s="1"/>
  <c r="T214" i="2"/>
  <c r="W214" i="2" s="1"/>
  <c r="D214" i="3" s="1"/>
  <c r="F214" i="3" s="1"/>
  <c r="T157" i="2"/>
  <c r="W157" i="2" s="1"/>
  <c r="D157" i="3" s="1"/>
  <c r="F157" i="3" s="1"/>
  <c r="T276" i="2"/>
  <c r="W276" i="2" s="1"/>
  <c r="D276" i="3" s="1"/>
  <c r="F276" i="3" s="1"/>
  <c r="T212" i="2"/>
  <c r="W212" i="2" s="1"/>
  <c r="D212" i="3" s="1"/>
  <c r="F212" i="3" s="1"/>
  <c r="T148" i="2"/>
  <c r="W148" i="2" s="1"/>
  <c r="D148" i="3" s="1"/>
  <c r="F148" i="3" s="1"/>
  <c r="T84" i="2"/>
  <c r="W84" i="2" s="1"/>
  <c r="D84" i="3" s="1"/>
  <c r="F84" i="3" s="1"/>
  <c r="T20" i="2"/>
  <c r="W20" i="2" s="1"/>
  <c r="D20" i="3" s="1"/>
  <c r="F20" i="3" s="1"/>
  <c r="T293" i="2"/>
  <c r="W293" i="2" s="1"/>
  <c r="D293" i="3" s="1"/>
  <c r="F293" i="3" s="1"/>
  <c r="T299" i="2"/>
  <c r="W299" i="2" s="1"/>
  <c r="D299" i="3" s="1"/>
  <c r="F299" i="3" s="1"/>
  <c r="T235" i="2"/>
  <c r="W235" i="2" s="1"/>
  <c r="D235" i="3" s="1"/>
  <c r="F235" i="3" s="1"/>
  <c r="T171" i="2"/>
  <c r="W171" i="2" s="1"/>
  <c r="D171" i="3" s="1"/>
  <c r="F171" i="3" s="1"/>
  <c r="T107" i="2"/>
  <c r="W107" i="2" s="1"/>
  <c r="D107" i="3" s="1"/>
  <c r="F107" i="3" s="1"/>
  <c r="T43" i="2"/>
  <c r="W43" i="2" s="1"/>
  <c r="D43" i="3" s="1"/>
  <c r="F43" i="3" s="1"/>
  <c r="T142" i="2"/>
  <c r="W142" i="2" s="1"/>
  <c r="D142" i="3" s="1"/>
  <c r="F142" i="3" s="1"/>
  <c r="T21" i="2"/>
  <c r="W21" i="2" s="1"/>
  <c r="D21" i="3" s="1"/>
  <c r="F21" i="3" s="1"/>
  <c r="T250" i="2"/>
  <c r="W250" i="2" s="1"/>
  <c r="D250" i="3" s="1"/>
  <c r="F250" i="3" s="1"/>
  <c r="T186" i="2"/>
  <c r="W186" i="2" s="1"/>
  <c r="D186" i="3" s="1"/>
  <c r="F186" i="3" s="1"/>
  <c r="T122" i="2"/>
  <c r="W122" i="2" s="1"/>
  <c r="D122" i="3" s="1"/>
  <c r="F122" i="3" s="1"/>
  <c r="T58" i="2"/>
  <c r="W58" i="2" s="1"/>
  <c r="D58" i="3" s="1"/>
  <c r="F58" i="3" s="1"/>
  <c r="T270" i="2"/>
  <c r="W270" i="2" s="1"/>
  <c r="D270" i="3" s="1"/>
  <c r="F270" i="3" s="1"/>
  <c r="T221" i="2"/>
  <c r="W221" i="2" s="1"/>
  <c r="D221" i="3" s="1"/>
  <c r="F221" i="3" s="1"/>
  <c r="T281" i="2"/>
  <c r="W281" i="2" s="1"/>
  <c r="D281" i="3" s="1"/>
  <c r="F281" i="3" s="1"/>
  <c r="T217" i="2"/>
  <c r="W217" i="2" s="1"/>
  <c r="D217" i="3" s="1"/>
  <c r="F217" i="3" s="1"/>
  <c r="T153" i="2"/>
  <c r="W153" i="2" s="1"/>
  <c r="D153" i="3" s="1"/>
  <c r="F153" i="3" s="1"/>
  <c r="T89" i="2"/>
  <c r="W89" i="2" s="1"/>
  <c r="D89" i="3" s="1"/>
  <c r="F89" i="3" s="1"/>
  <c r="T25" i="2"/>
  <c r="W25" i="2" s="1"/>
  <c r="D25" i="3" s="1"/>
  <c r="F25" i="3" s="1"/>
  <c r="T158" i="2"/>
  <c r="W158" i="2" s="1"/>
  <c r="D158" i="3" s="1"/>
  <c r="F158" i="3" s="1"/>
  <c r="T85" i="2"/>
  <c r="W85" i="2" s="1"/>
  <c r="D85" i="3" s="1"/>
  <c r="F85" i="3" s="1"/>
  <c r="T256" i="2"/>
  <c r="W256" i="2" s="1"/>
  <c r="D256" i="3" s="1"/>
  <c r="F256" i="3" s="1"/>
  <c r="T192" i="2"/>
  <c r="W192" i="2" s="1"/>
  <c r="D192" i="3" s="1"/>
  <c r="F192" i="3" s="1"/>
  <c r="T128" i="2"/>
  <c r="W128" i="2" s="1"/>
  <c r="D128" i="3" s="1"/>
  <c r="F128" i="3" s="1"/>
  <c r="T64" i="2"/>
  <c r="W64" i="2" s="1"/>
  <c r="D64" i="3" s="1"/>
  <c r="F64" i="3" s="1"/>
  <c r="T230" i="2"/>
  <c r="W230" i="2" s="1"/>
  <c r="D230" i="3" s="1"/>
  <c r="F230" i="3" s="1"/>
  <c r="T93" i="2"/>
  <c r="W93" i="2" s="1"/>
  <c r="D93" i="3" s="1"/>
  <c r="F93" i="3" s="1"/>
  <c r="T247" i="2"/>
  <c r="W247" i="2" s="1"/>
  <c r="D247" i="3" s="1"/>
  <c r="F247" i="3" s="1"/>
  <c r="T183" i="2"/>
  <c r="W183" i="2" s="1"/>
  <c r="D183" i="3" s="1"/>
  <c r="F183" i="3" s="1"/>
  <c r="T119" i="2"/>
  <c r="W119" i="2" s="1"/>
  <c r="D119" i="3" s="1"/>
  <c r="F119" i="3" s="1"/>
  <c r="T55" i="2"/>
  <c r="W55" i="2" s="1"/>
  <c r="D55" i="3" s="1"/>
  <c r="F55" i="3" s="1"/>
  <c r="T174" i="2"/>
  <c r="W174" i="2" s="1"/>
  <c r="D174" i="3" s="1"/>
  <c r="F174" i="3" s="1"/>
  <c r="T101" i="2"/>
  <c r="W101" i="2" s="1"/>
  <c r="D101" i="3" s="1"/>
  <c r="F101" i="3" s="1"/>
  <c r="T268" i="2"/>
  <c r="W268" i="2" s="1"/>
  <c r="D268" i="3" s="1"/>
  <c r="F268" i="3" s="1"/>
  <c r="T204" i="2"/>
  <c r="W204" i="2" s="1"/>
  <c r="D204" i="3" s="1"/>
  <c r="F204" i="3" s="1"/>
  <c r="T140" i="2"/>
  <c r="W140" i="2" s="1"/>
  <c r="D140" i="3" s="1"/>
  <c r="F140" i="3" s="1"/>
  <c r="T76" i="2"/>
  <c r="W76" i="2" s="1"/>
  <c r="D76" i="3" s="1"/>
  <c r="F76" i="3" s="1"/>
  <c r="T12" i="2"/>
  <c r="W12" i="2" s="1"/>
  <c r="D12" i="3" s="1"/>
  <c r="F12" i="3" s="1"/>
  <c r="T229" i="2"/>
  <c r="W229" i="2" s="1"/>
  <c r="D229" i="3" s="1"/>
  <c r="F229" i="3" s="1"/>
  <c r="T291" i="2"/>
  <c r="W291" i="2" s="1"/>
  <c r="D291" i="3" s="1"/>
  <c r="F291" i="3" s="1"/>
  <c r="T227" i="2"/>
  <c r="W227" i="2" s="1"/>
  <c r="D227" i="3" s="1"/>
  <c r="F227" i="3" s="1"/>
  <c r="T163" i="2"/>
  <c r="W163" i="2" s="1"/>
  <c r="D163" i="3" s="1"/>
  <c r="F163" i="3" s="1"/>
  <c r="T99" i="2"/>
  <c r="W99" i="2" s="1"/>
  <c r="D99" i="3" s="1"/>
  <c r="F99" i="3" s="1"/>
  <c r="T35" i="2"/>
  <c r="W35" i="2" s="1"/>
  <c r="D35" i="3" s="1"/>
  <c r="F35" i="3" s="1"/>
  <c r="T94" i="2"/>
  <c r="W94" i="2" s="1"/>
  <c r="D94" i="3" s="1"/>
  <c r="F94" i="3" s="1"/>
  <c r="T306" i="2"/>
  <c r="W306" i="2" s="1"/>
  <c r="D306" i="3" s="1"/>
  <c r="F306" i="3" s="1"/>
  <c r="T242" i="2"/>
  <c r="W242" i="2" s="1"/>
  <c r="D242" i="3" s="1"/>
  <c r="F242" i="3" s="1"/>
  <c r="T178" i="2"/>
  <c r="W178" i="2" s="1"/>
  <c r="D178" i="3" s="1"/>
  <c r="F178" i="3" s="1"/>
  <c r="T114" i="2"/>
  <c r="W114" i="2" s="1"/>
  <c r="D114" i="3" s="1"/>
  <c r="F114" i="3" s="1"/>
  <c r="T50" i="2"/>
  <c r="W50" i="2" s="1"/>
  <c r="D50" i="3" s="1"/>
  <c r="F50" i="3" s="1"/>
  <c r="T222" i="2"/>
  <c r="W222" i="2" s="1"/>
  <c r="D222" i="3" s="1"/>
  <c r="F222" i="3" s="1"/>
  <c r="T173" i="2"/>
  <c r="W173" i="2" s="1"/>
  <c r="D173" i="3" s="1"/>
  <c r="F173" i="3" s="1"/>
  <c r="T273" i="2"/>
  <c r="W273" i="2" s="1"/>
  <c r="D273" i="3" s="1"/>
  <c r="F273" i="3" s="1"/>
  <c r="T209" i="2"/>
  <c r="W209" i="2" s="1"/>
  <c r="D209" i="3" s="1"/>
  <c r="F209" i="3" s="1"/>
  <c r="T145" i="2"/>
  <c r="W145" i="2" s="1"/>
  <c r="D145" i="3" s="1"/>
  <c r="F145" i="3" s="1"/>
  <c r="T81" i="2"/>
  <c r="W81" i="2" s="1"/>
  <c r="D81" i="3" s="1"/>
  <c r="F81" i="3" s="1"/>
  <c r="T17" i="2"/>
  <c r="W17" i="2" s="1"/>
  <c r="D17" i="3" s="1"/>
  <c r="F17" i="3" s="1"/>
  <c r="T62" i="2"/>
  <c r="W62" i="2" s="1"/>
  <c r="D62" i="3" s="1"/>
  <c r="F62" i="3" s="1"/>
  <c r="T304" i="2"/>
  <c r="W304" i="2" s="1"/>
  <c r="D304" i="3" s="1"/>
  <c r="F304" i="3" s="1"/>
  <c r="T240" i="2"/>
  <c r="W240" i="2" s="1"/>
  <c r="D240" i="3" s="1"/>
  <c r="F240" i="3" s="1"/>
  <c r="T176" i="2"/>
  <c r="W176" i="2" s="1"/>
  <c r="D176" i="3" s="1"/>
  <c r="F176" i="3" s="1"/>
  <c r="T112" i="2"/>
  <c r="W112" i="2" s="1"/>
  <c r="D112" i="3" s="1"/>
  <c r="F112" i="3" s="1"/>
  <c r="T48" i="2"/>
  <c r="W48" i="2" s="1"/>
  <c r="D48" i="3" s="1"/>
  <c r="F48" i="3" s="1"/>
  <c r="T134" i="2"/>
  <c r="W134" i="2" s="1"/>
  <c r="D134" i="3" s="1"/>
  <c r="F134" i="3" s="1"/>
  <c r="T295" i="2"/>
  <c r="W295" i="2" s="1"/>
  <c r="D295" i="3" s="1"/>
  <c r="F295" i="3" s="1"/>
  <c r="T231" i="2"/>
  <c r="W231" i="2" s="1"/>
  <c r="D231" i="3" s="1"/>
  <c r="F231" i="3" s="1"/>
  <c r="T167" i="2"/>
  <c r="W167" i="2" s="1"/>
  <c r="D167" i="3" s="1"/>
  <c r="F167" i="3" s="1"/>
  <c r="T103" i="2"/>
  <c r="W103" i="2" s="1"/>
  <c r="D103" i="3" s="1"/>
  <c r="F103" i="3" s="1"/>
  <c r="T39" i="2"/>
  <c r="W39" i="2" s="1"/>
  <c r="D39" i="3" s="1"/>
  <c r="F39" i="3" s="1"/>
  <c r="T86" i="2"/>
  <c r="W86" i="2" s="1"/>
  <c r="D86" i="3" s="1"/>
  <c r="F86" i="3" s="1"/>
  <c r="T29" i="2"/>
  <c r="W29" i="2" s="1"/>
  <c r="D29" i="3" s="1"/>
  <c r="F29" i="3" s="1"/>
  <c r="T252" i="2"/>
  <c r="W252" i="2" s="1"/>
  <c r="D252" i="3" s="1"/>
  <c r="F252" i="3" s="1"/>
  <c r="T188" i="2"/>
  <c r="W188" i="2" s="1"/>
  <c r="D188" i="3" s="1"/>
  <c r="F188" i="3" s="1"/>
  <c r="T124" i="2"/>
  <c r="W124" i="2" s="1"/>
  <c r="D124" i="3" s="1"/>
  <c r="F124" i="3" s="1"/>
  <c r="T60" i="2"/>
  <c r="W60" i="2" s="1"/>
  <c r="D60" i="3" s="1"/>
  <c r="F60" i="3" s="1"/>
  <c r="T238" i="2"/>
  <c r="W238" i="2" s="1"/>
  <c r="D238" i="3" s="1"/>
  <c r="F238" i="3" s="1"/>
  <c r="T149" i="2"/>
  <c r="W149" i="2" s="1"/>
  <c r="D149" i="3" s="1"/>
  <c r="F149" i="3" s="1"/>
  <c r="T275" i="2"/>
  <c r="W275" i="2" s="1"/>
  <c r="D275" i="3" s="1"/>
  <c r="F275" i="3" s="1"/>
  <c r="T211" i="2"/>
  <c r="W211" i="2" s="1"/>
  <c r="D211" i="3" s="1"/>
  <c r="F211" i="3" s="1"/>
  <c r="T147" i="2"/>
  <c r="W147" i="2" s="1"/>
  <c r="D147" i="3" s="1"/>
  <c r="F147" i="3" s="1"/>
  <c r="T83" i="2"/>
  <c r="W83" i="2" s="1"/>
  <c r="D83" i="3" s="1"/>
  <c r="F83" i="3" s="1"/>
  <c r="T19" i="2"/>
  <c r="W19" i="2" s="1"/>
  <c r="D19" i="3" s="1"/>
  <c r="F19" i="3" s="1"/>
  <c r="T285" i="2"/>
  <c r="W285" i="2" s="1"/>
  <c r="D285" i="3" s="1"/>
  <c r="F285" i="3" s="1"/>
  <c r="T290" i="2"/>
  <c r="W290" i="2" s="1"/>
  <c r="D290" i="3" s="1"/>
  <c r="F290" i="3" s="1"/>
  <c r="T226" i="2"/>
  <c r="W226" i="2" s="1"/>
  <c r="D226" i="3" s="1"/>
  <c r="F226" i="3" s="1"/>
  <c r="T162" i="2"/>
  <c r="W162" i="2" s="1"/>
  <c r="D162" i="3" s="1"/>
  <c r="F162" i="3" s="1"/>
  <c r="T98" i="2"/>
  <c r="W98" i="2" s="1"/>
  <c r="D98" i="3" s="1"/>
  <c r="F98" i="3" s="1"/>
  <c r="T34" i="2"/>
  <c r="W34" i="2" s="1"/>
  <c r="D34" i="3" s="1"/>
  <c r="F34" i="3" s="1"/>
  <c r="T118" i="2"/>
  <c r="W118" i="2" s="1"/>
  <c r="D118" i="3" s="1"/>
  <c r="F118" i="3" s="1"/>
  <c r="T69" i="2"/>
  <c r="W69" i="2" s="1"/>
  <c r="D69" i="3" s="1"/>
  <c r="F69" i="3" s="1"/>
  <c r="T257" i="2"/>
  <c r="W257" i="2" s="1"/>
  <c r="D257" i="3" s="1"/>
  <c r="F257" i="3" s="1"/>
  <c r="T193" i="2"/>
  <c r="W193" i="2" s="1"/>
  <c r="D193" i="3" s="1"/>
  <c r="F193" i="3" s="1"/>
  <c r="T129" i="2"/>
  <c r="W129" i="2" s="1"/>
  <c r="D129" i="3" s="1"/>
  <c r="F129" i="3" s="1"/>
  <c r="T65" i="2"/>
  <c r="W65" i="2" s="1"/>
  <c r="D65" i="3" s="1"/>
  <c r="F65" i="3" s="1"/>
  <c r="G6" i="45" l="1"/>
  <c r="X132" i="2"/>
  <c r="X303" i="2"/>
  <c r="X57" i="2"/>
  <c r="X224" i="2"/>
  <c r="X107" i="2"/>
  <c r="X125" i="2"/>
  <c r="X251" i="2"/>
  <c r="X22" i="2"/>
  <c r="X181" i="2"/>
  <c r="X40" i="2"/>
  <c r="X184" i="2"/>
  <c r="X96" i="2"/>
  <c r="X139" i="2"/>
  <c r="X278" i="2"/>
  <c r="X11" i="2"/>
  <c r="X208" i="2"/>
  <c r="X36" i="2"/>
  <c r="X71" i="2"/>
  <c r="X56" i="2"/>
  <c r="X61" i="2"/>
  <c r="X274" i="2"/>
  <c r="X203" i="2"/>
  <c r="X253" i="2"/>
  <c r="X196" i="2"/>
  <c r="X160" i="2"/>
  <c r="X133" i="2"/>
  <c r="X75" i="2"/>
  <c r="X238" i="2"/>
  <c r="X237" i="2"/>
  <c r="X239" i="2"/>
  <c r="X103" i="2"/>
  <c r="X152" i="2"/>
  <c r="X95" i="2"/>
  <c r="X82" i="2"/>
  <c r="X187" i="2"/>
  <c r="X277" i="2"/>
  <c r="X43" i="2"/>
  <c r="X9" i="2"/>
  <c r="X146" i="2"/>
  <c r="X137" i="2"/>
  <c r="X185" i="2"/>
  <c r="X159" i="2"/>
  <c r="X300" i="2"/>
  <c r="X292" i="2"/>
  <c r="X74" i="2"/>
  <c r="X24" i="2"/>
  <c r="X305" i="2"/>
  <c r="X212" i="2"/>
  <c r="X226" i="2"/>
  <c r="X141" i="2"/>
  <c r="X111" i="2"/>
  <c r="X13" i="2"/>
  <c r="X87" i="2"/>
  <c r="X223" i="2"/>
  <c r="X54" i="2"/>
  <c r="X166" i="2"/>
  <c r="X219" i="2"/>
  <c r="X180" i="2"/>
  <c r="X232" i="2"/>
  <c r="X109" i="2"/>
  <c r="X49" i="2"/>
  <c r="X27" i="2"/>
  <c r="X113" i="2"/>
  <c r="X91" i="2"/>
  <c r="X260" i="2"/>
  <c r="X172" i="2"/>
  <c r="X129" i="2"/>
  <c r="D308" i="3"/>
  <c r="F308" i="3" s="1"/>
  <c r="F8" i="3"/>
  <c r="H22" i="59" s="1"/>
  <c r="X151" i="2"/>
  <c r="X121" i="2"/>
  <c r="X68" i="2"/>
  <c r="X126" i="2"/>
  <c r="X44" i="2"/>
  <c r="X38" i="2"/>
  <c r="X201" i="2"/>
  <c r="X233" i="2"/>
  <c r="X108" i="2"/>
  <c r="X46" i="2"/>
  <c r="X45" i="2"/>
  <c r="X131" i="2"/>
  <c r="X294" i="2"/>
  <c r="X291" i="2"/>
  <c r="X242" i="2"/>
  <c r="X165" i="2"/>
  <c r="X229" i="2"/>
  <c r="X193" i="2"/>
  <c r="X301" i="2"/>
  <c r="X175" i="2"/>
  <c r="X17" i="2"/>
  <c r="X235" i="2"/>
  <c r="X243" i="2"/>
  <c r="X86" i="2"/>
  <c r="X197" i="2"/>
  <c r="X92" i="2"/>
  <c r="X64" i="2"/>
  <c r="X273" i="2"/>
  <c r="X169" i="2"/>
  <c r="X25" i="2"/>
  <c r="X122" i="2"/>
  <c r="X31" i="2"/>
  <c r="X265" i="2"/>
  <c r="X198" i="2"/>
  <c r="X289" i="2"/>
  <c r="X199" i="2"/>
  <c r="X128" i="2"/>
  <c r="X207" i="2"/>
  <c r="X213" i="2"/>
  <c r="X262" i="2"/>
  <c r="X279" i="2"/>
  <c r="X297" i="2"/>
  <c r="X206" i="2"/>
  <c r="X168" i="2"/>
  <c r="X174" i="2"/>
  <c r="X14" i="2"/>
  <c r="X259" i="2"/>
  <c r="X148" i="2"/>
  <c r="X81" i="2"/>
  <c r="X246" i="2"/>
  <c r="X155" i="2"/>
  <c r="X39" i="2"/>
  <c r="X100" i="2"/>
  <c r="X18" i="2"/>
  <c r="X307" i="2"/>
  <c r="X255" i="2"/>
  <c r="X190" i="2"/>
  <c r="X194" i="2"/>
  <c r="X178" i="2"/>
  <c r="X221" i="2"/>
  <c r="X176" i="2"/>
  <c r="X116" i="2"/>
  <c r="X149" i="2"/>
  <c r="X30" i="2"/>
  <c r="X144" i="2"/>
  <c r="X97" i="2"/>
  <c r="X90" i="2"/>
  <c r="X130" i="2"/>
  <c r="X162" i="2"/>
  <c r="X84" i="2"/>
  <c r="X189" i="2"/>
  <c r="X288" i="2"/>
  <c r="X80" i="2"/>
  <c r="X191" i="2"/>
  <c r="X280" i="2"/>
  <c r="X210" i="2"/>
  <c r="X112" i="2"/>
  <c r="X227" i="2"/>
  <c r="X249" i="2"/>
  <c r="X143" i="2"/>
  <c r="X23" i="2"/>
  <c r="X182" i="2"/>
  <c r="X263" i="2"/>
  <c r="X63" i="2"/>
  <c r="X275" i="2"/>
  <c r="X76" i="2"/>
  <c r="X114" i="2"/>
  <c r="X33" i="2"/>
  <c r="X281" i="2"/>
  <c r="X101" i="2"/>
  <c r="X117" i="2"/>
  <c r="X142" i="2"/>
  <c r="X270" i="2"/>
  <c r="X271" i="2"/>
  <c r="X164" i="2"/>
  <c r="X15" i="2"/>
  <c r="X115" i="2"/>
  <c r="X70" i="2"/>
  <c r="X145" i="2"/>
  <c r="X55" i="2"/>
  <c r="X202" i="2"/>
  <c r="X192" i="2"/>
  <c r="X161" i="2"/>
  <c r="X52" i="2"/>
  <c r="X59" i="2"/>
  <c r="X37" i="2"/>
  <c r="X170" i="2"/>
  <c r="X258" i="2"/>
  <c r="X65" i="2"/>
  <c r="X48" i="2"/>
  <c r="X67" i="2"/>
  <c r="X16" i="2"/>
  <c r="X127" i="2"/>
  <c r="X98" i="2"/>
  <c r="X21" i="2"/>
  <c r="X298" i="2"/>
  <c r="X240" i="2"/>
  <c r="X102" i="2"/>
  <c r="X124" i="2"/>
  <c r="X85" i="2"/>
  <c r="X50" i="2"/>
  <c r="X248" i="2"/>
  <c r="X290" i="2"/>
  <c r="X62" i="2"/>
  <c r="X296" i="2"/>
  <c r="X94" i="2"/>
  <c r="X195" i="2"/>
  <c r="X66" i="2"/>
  <c r="X218" i="2"/>
  <c r="X230" i="2"/>
  <c r="X163" i="2"/>
  <c r="X69" i="2"/>
  <c r="X200" i="2"/>
  <c r="X252" i="2"/>
  <c r="X35" i="2"/>
  <c r="X104" i="2"/>
  <c r="X79" i="2"/>
  <c r="X267" i="2"/>
  <c r="X153" i="2"/>
  <c r="X236" i="2"/>
  <c r="X217" i="2"/>
  <c r="X20" i="2"/>
  <c r="X177" i="2"/>
  <c r="X282" i="2"/>
  <c r="X19" i="2"/>
  <c r="X220" i="2"/>
  <c r="X268" i="2"/>
  <c r="X32" i="2"/>
  <c r="X34" i="2"/>
  <c r="X205" i="2"/>
  <c r="X231" i="2"/>
  <c r="X179" i="2"/>
  <c r="X183" i="2"/>
  <c r="X264" i="2"/>
  <c r="X53" i="2"/>
  <c r="X73" i="2"/>
  <c r="X211" i="2"/>
  <c r="X29" i="2"/>
  <c r="X216" i="2"/>
  <c r="X120" i="2"/>
  <c r="X154" i="2"/>
  <c r="X215" i="2"/>
  <c r="X284" i="2"/>
  <c r="X110" i="2"/>
  <c r="X250" i="2"/>
  <c r="X266" i="2"/>
  <c r="X26" i="2"/>
  <c r="X93" i="2"/>
  <c r="X42" i="2"/>
  <c r="X302" i="2"/>
  <c r="X72" i="2"/>
  <c r="X157" i="2"/>
  <c r="X147" i="2"/>
  <c r="X293" i="2"/>
  <c r="X134" i="2"/>
  <c r="X204" i="2"/>
  <c r="X222" i="2"/>
  <c r="X105" i="2"/>
  <c r="X99" i="2"/>
  <c r="X299" i="2"/>
  <c r="X214" i="2"/>
  <c r="X173" i="2"/>
  <c r="X287" i="2"/>
  <c r="X138" i="2"/>
  <c r="X158" i="2"/>
  <c r="X283" i="2"/>
  <c r="X150" i="2"/>
  <c r="X88" i="2"/>
  <c r="X140" i="2"/>
  <c r="X118" i="2"/>
  <c r="X295" i="2"/>
  <c r="X241" i="2"/>
  <c r="X47" i="2"/>
  <c r="X136" i="2"/>
  <c r="X51" i="2"/>
  <c r="X261" i="2"/>
  <c r="X188" i="2"/>
  <c r="X89" i="2"/>
  <c r="X186" i="2"/>
  <c r="X234" i="2"/>
  <c r="X254" i="2"/>
  <c r="X41" i="2"/>
  <c r="X83" i="2"/>
  <c r="X156" i="2"/>
  <c r="X244" i="2"/>
  <c r="X78" i="2"/>
  <c r="X247" i="2"/>
  <c r="X245" i="2"/>
  <c r="X106" i="2"/>
  <c r="X119" i="2"/>
  <c r="X257" i="2"/>
  <c r="X306" i="2"/>
  <c r="X135" i="2"/>
  <c r="X269" i="2"/>
  <c r="X276" i="2"/>
  <c r="X209" i="2"/>
  <c r="X286" i="2"/>
  <c r="X10" i="2"/>
  <c r="X285" i="2"/>
  <c r="X28" i="2"/>
  <c r="X228" i="2"/>
  <c r="X123" i="2"/>
  <c r="X167" i="2"/>
  <c r="X60" i="2"/>
  <c r="X12" i="2"/>
  <c r="T308" i="2"/>
  <c r="W308" i="2" s="1"/>
  <c r="X225" i="2"/>
  <c r="X171" i="2"/>
  <c r="X304" i="2"/>
  <c r="X256" i="2"/>
  <c r="X272" i="2"/>
  <c r="X58" i="2"/>
  <c r="X77" i="2"/>
  <c r="X8" i="2"/>
  <c r="F6" i="3" l="1"/>
  <c r="H23" i="59" s="1"/>
  <c r="X308" i="2"/>
  <c r="Y26" i="2" s="1"/>
  <c r="G8" i="3" l="1"/>
  <c r="H8" i="3" s="1"/>
  <c r="G7" i="45"/>
  <c r="Y13" i="2"/>
  <c r="Y226" i="2"/>
  <c r="Y246" i="2"/>
  <c r="Y45" i="2"/>
  <c r="Y191" i="2"/>
  <c r="Y147" i="2"/>
  <c r="Y64" i="2"/>
  <c r="Y135" i="2"/>
  <c r="Y177" i="2"/>
  <c r="Y41" i="2"/>
  <c r="Y249" i="2"/>
  <c r="Y202" i="2"/>
  <c r="Y136" i="2"/>
  <c r="Y212" i="2"/>
  <c r="Y93" i="2"/>
  <c r="Y16" i="2"/>
  <c r="Y58" i="2"/>
  <c r="Y283" i="2"/>
  <c r="Y257" i="2"/>
  <c r="Y129" i="2"/>
  <c r="Y53" i="2"/>
  <c r="Y78" i="2"/>
  <c r="Y294" i="2"/>
  <c r="Y268" i="2"/>
  <c r="Y103" i="2"/>
  <c r="Y101" i="2"/>
  <c r="Y75" i="2"/>
  <c r="Y139" i="2"/>
  <c r="Y251" i="2"/>
  <c r="Y187" i="2"/>
  <c r="Y281" i="2"/>
  <c r="Y12" i="2"/>
  <c r="Y179" i="2"/>
  <c r="Y259" i="2"/>
  <c r="Y260" i="2"/>
  <c r="Y40" i="2"/>
  <c r="Y30" i="2"/>
  <c r="Y306" i="2"/>
  <c r="Y59" i="2"/>
  <c r="Y87" i="2"/>
  <c r="Y160" i="2"/>
  <c r="Y19" i="2"/>
  <c r="Y108" i="2"/>
  <c r="Y65" i="2"/>
  <c r="Y76" i="2"/>
  <c r="Y271" i="2"/>
  <c r="Y9" i="2"/>
  <c r="Y91" i="2"/>
  <c r="Y174" i="2"/>
  <c r="Y43" i="2"/>
  <c r="Y197" i="2"/>
  <c r="Y210" i="2"/>
  <c r="Y49" i="2"/>
  <c r="Y292" i="2"/>
  <c r="Y270" i="2"/>
  <c r="Y225" i="2"/>
  <c r="Y222" i="2"/>
  <c r="Y48" i="2"/>
  <c r="Y55" i="2"/>
  <c r="Y232" i="2"/>
  <c r="Y286" i="2"/>
  <c r="Y149" i="2"/>
  <c r="Y262" i="2"/>
  <c r="Y166" i="2"/>
  <c r="Y47" i="2"/>
  <c r="Y180" i="2"/>
  <c r="Y304" i="2"/>
  <c r="Y52" i="2"/>
  <c r="Y207" i="2"/>
  <c r="Y224" i="2"/>
  <c r="Y243" i="2"/>
  <c r="Y272" i="2"/>
  <c r="Y159" i="2"/>
  <c r="Y206" i="2"/>
  <c r="Y61" i="2"/>
  <c r="Y242" i="2"/>
  <c r="Y32" i="2"/>
  <c r="Y151" i="2"/>
  <c r="Y155" i="2"/>
  <c r="Y23" i="2"/>
  <c r="Y123" i="2"/>
  <c r="Y185" i="2"/>
  <c r="Y152" i="2"/>
  <c r="Y142" i="2"/>
  <c r="Y288" i="2"/>
  <c r="Y56" i="2"/>
  <c r="Y150" i="2"/>
  <c r="Y265" i="2"/>
  <c r="Y169" i="2"/>
  <c r="Y137" i="2"/>
  <c r="Y25" i="2"/>
  <c r="Y144" i="2"/>
  <c r="Y190" i="2"/>
  <c r="Y57" i="2"/>
  <c r="Y189" i="2"/>
  <c r="Y143" i="2"/>
  <c r="Y164" i="2"/>
  <c r="Y218" i="2"/>
  <c r="Y156" i="2"/>
  <c r="Y220" i="2"/>
  <c r="Y145" i="2"/>
  <c r="Y71" i="2"/>
  <c r="Y203" i="2"/>
  <c r="Y96" i="2"/>
  <c r="Y264" i="2"/>
  <c r="Y140" i="2"/>
  <c r="Y239" i="2"/>
  <c r="Y297" i="2"/>
  <c r="Y60" i="2"/>
  <c r="Y104" i="2"/>
  <c r="Y291" i="2"/>
  <c r="Y110" i="2"/>
  <c r="Y117" i="2"/>
  <c r="Y295" i="2"/>
  <c r="Y201" i="2"/>
  <c r="Y116" i="2"/>
  <c r="Y176" i="2"/>
  <c r="Y36" i="2"/>
  <c r="Y121" i="2"/>
  <c r="Y100" i="2"/>
  <c r="Y307" i="2"/>
  <c r="Y86" i="2"/>
  <c r="Y28" i="2"/>
  <c r="Y146" i="2"/>
  <c r="Y223" i="2"/>
  <c r="Y227" i="2"/>
  <c r="Y10" i="2"/>
  <c r="Y229" i="2"/>
  <c r="Y62" i="2"/>
  <c r="Y148" i="2"/>
  <c r="Y234" i="2"/>
  <c r="Y42" i="2"/>
  <c r="Y69" i="2"/>
  <c r="Y195" i="2"/>
  <c r="Y92" i="2"/>
  <c r="Y11" i="2"/>
  <c r="Y254" i="2"/>
  <c r="Y205" i="2"/>
  <c r="Y213" i="2"/>
  <c r="Y186" i="2"/>
  <c r="Y216" i="2"/>
  <c r="Y253" i="2"/>
  <c r="Y238" i="2"/>
  <c r="Y105" i="2"/>
  <c r="Y35" i="2"/>
  <c r="Y269" i="2"/>
  <c r="Y214" i="2"/>
  <c r="Y263" i="2"/>
  <c r="Y183" i="2"/>
  <c r="Y267" i="2"/>
  <c r="Y193" i="2"/>
  <c r="Y250" i="2"/>
  <c r="Y247" i="2"/>
  <c r="Y194" i="2"/>
  <c r="Y302" i="2"/>
  <c r="Y125" i="2"/>
  <c r="Y98" i="2"/>
  <c r="Y165" i="2"/>
  <c r="Y171" i="2"/>
  <c r="Y153" i="2"/>
  <c r="Y113" i="2"/>
  <c r="Y67" i="2"/>
  <c r="Y106" i="2"/>
  <c r="Y236" i="2"/>
  <c r="Y122" i="2"/>
  <c r="Y209" i="2"/>
  <c r="Y24" i="2"/>
  <c r="Y157" i="2"/>
  <c r="Y167" i="2"/>
  <c r="Y285" i="2"/>
  <c r="Y80" i="2"/>
  <c r="Y63" i="2"/>
  <c r="Y308" i="2"/>
  <c r="Y8" i="2"/>
  <c r="Y124" i="2"/>
  <c r="Y119" i="2"/>
  <c r="Y141" i="2"/>
  <c r="Y46" i="2"/>
  <c r="Y66" i="2"/>
  <c r="Y158" i="2"/>
  <c r="Y111" i="2"/>
  <c r="Y131" i="2"/>
  <c r="Y230" i="2"/>
  <c r="Y134" i="2"/>
  <c r="Y31" i="2"/>
  <c r="Y215" i="2"/>
  <c r="Y20" i="2"/>
  <c r="Y305" i="2"/>
  <c r="Y240" i="2"/>
  <c r="Y88" i="2"/>
  <c r="Y128" i="2"/>
  <c r="Y21" i="2"/>
  <c r="Y18" i="2"/>
  <c r="Y130" i="2"/>
  <c r="Y261" i="2"/>
  <c r="Y217" i="2"/>
  <c r="Y289" i="2"/>
  <c r="Y204" i="2"/>
  <c r="Y290" i="2"/>
  <c r="Y126" i="2"/>
  <c r="Y293" i="2"/>
  <c r="Y256" i="2"/>
  <c r="Y198" i="2"/>
  <c r="Y181" i="2"/>
  <c r="Y95" i="2"/>
  <c r="Y90" i="2"/>
  <c r="Y266" i="2"/>
  <c r="Y184" i="2"/>
  <c r="Y154" i="2"/>
  <c r="Y245" i="2"/>
  <c r="Y296" i="2"/>
  <c r="Y107" i="2"/>
  <c r="Y17" i="2"/>
  <c r="Y94" i="2"/>
  <c r="Y51" i="2"/>
  <c r="Y172" i="2"/>
  <c r="Y233" i="2"/>
  <c r="Y208" i="2"/>
  <c r="Y273" i="2"/>
  <c r="Y74" i="2"/>
  <c r="Y284" i="2"/>
  <c r="Y118" i="2"/>
  <c r="Y173" i="2"/>
  <c r="Y237" i="2"/>
  <c r="Y15" i="2"/>
  <c r="Y127" i="2"/>
  <c r="Y38" i="2"/>
  <c r="Y303" i="2"/>
  <c r="Y33" i="2"/>
  <c r="Y228" i="2"/>
  <c r="Y241" i="2"/>
  <c r="Y84" i="2"/>
  <c r="Y115" i="2"/>
  <c r="Y114" i="2"/>
  <c r="Y178" i="2"/>
  <c r="Y244" i="2"/>
  <c r="Y219" i="2"/>
  <c r="Y301" i="2"/>
  <c r="Y68" i="2"/>
  <c r="Y133" i="2"/>
  <c r="Y79" i="2"/>
  <c r="Y162" i="2"/>
  <c r="Y22" i="2"/>
  <c r="Y276" i="2"/>
  <c r="Y211" i="2"/>
  <c r="Y54" i="2"/>
  <c r="Y275" i="2"/>
  <c r="Y199" i="2"/>
  <c r="Y231" i="2"/>
  <c r="Y274" i="2"/>
  <c r="Y34" i="2"/>
  <c r="Y44" i="2"/>
  <c r="Y37" i="2"/>
  <c r="Y70" i="2"/>
  <c r="Y277" i="2"/>
  <c r="Y109" i="2"/>
  <c r="Y196" i="2"/>
  <c r="Y279" i="2"/>
  <c r="Y248" i="2"/>
  <c r="Y138" i="2"/>
  <c r="Y175" i="2"/>
  <c r="Y14" i="2"/>
  <c r="Y89" i="2"/>
  <c r="Y188" i="2"/>
  <c r="Y299" i="2"/>
  <c r="Y221" i="2"/>
  <c r="Y163" i="2"/>
  <c r="Y258" i="2"/>
  <c r="Y161" i="2"/>
  <c r="Y27" i="2"/>
  <c r="Y235" i="2"/>
  <c r="Y29" i="2"/>
  <c r="Y39" i="2"/>
  <c r="Y278" i="2"/>
  <c r="Y83" i="2"/>
  <c r="Y298" i="2"/>
  <c r="Y112" i="2"/>
  <c r="Y168" i="2"/>
  <c r="Y300" i="2"/>
  <c r="Y73" i="2"/>
  <c r="Y192" i="2"/>
  <c r="Y82" i="2"/>
  <c r="Y287" i="2"/>
  <c r="Y81" i="2"/>
  <c r="Y280" i="2"/>
  <c r="Y255" i="2"/>
  <c r="Y72" i="2"/>
  <c r="Y132" i="2"/>
  <c r="Y85" i="2"/>
  <c r="Y99" i="2"/>
  <c r="Y77" i="2"/>
  <c r="Y252" i="2"/>
  <c r="Y120" i="2"/>
  <c r="Y182" i="2"/>
  <c r="Y282" i="2"/>
  <c r="Y170" i="2"/>
  <c r="Y200" i="2"/>
  <c r="Y97" i="2"/>
  <c r="Y50" i="2"/>
  <c r="Y102" i="2"/>
  <c r="G285" i="3"/>
  <c r="H285" i="3" s="1"/>
  <c r="G222" i="3"/>
  <c r="H222" i="3" s="1"/>
  <c r="G25" i="3"/>
  <c r="H25" i="3" s="1"/>
  <c r="G72" i="3"/>
  <c r="H72" i="3" s="1"/>
  <c r="G262" i="3"/>
  <c r="H262" i="3" s="1"/>
  <c r="G102" i="3"/>
  <c r="H102" i="3" s="1"/>
  <c r="G45" i="3"/>
  <c r="H45" i="3" s="1"/>
  <c r="G184" i="3"/>
  <c r="H184" i="3" s="1"/>
  <c r="G279" i="3"/>
  <c r="H279" i="3" s="1"/>
  <c r="G181" i="3"/>
  <c r="H181" i="3" s="1"/>
  <c r="G242" i="3"/>
  <c r="H242" i="3" s="1"/>
  <c r="G23" i="3"/>
  <c r="H23" i="3" s="1"/>
  <c r="G118" i="3"/>
  <c r="H118" i="3" s="1"/>
  <c r="G229" i="3"/>
  <c r="H229" i="3" s="1"/>
  <c r="G121" i="3"/>
  <c r="H121" i="3" s="1"/>
  <c r="G162" i="3"/>
  <c r="H162" i="3" s="1"/>
  <c r="G209" i="3"/>
  <c r="H209" i="3" s="1"/>
  <c r="G256" i="3"/>
  <c r="H256" i="3" s="1"/>
  <c r="G255" i="3"/>
  <c r="H255" i="3" s="1"/>
  <c r="G220" i="3"/>
  <c r="H220" i="3" s="1"/>
  <c r="G187" i="3"/>
  <c r="H187" i="3" s="1"/>
  <c r="G175" i="3"/>
  <c r="H175" i="3" s="1"/>
  <c r="G47" i="3"/>
  <c r="H47" i="3" s="1"/>
  <c r="G132" i="3"/>
  <c r="H132" i="3" s="1"/>
  <c r="G303" i="3"/>
  <c r="H303" i="3" s="1"/>
  <c r="G29" i="3"/>
  <c r="H29" i="3" s="1"/>
  <c r="G228" i="3"/>
  <c r="H228" i="3" s="1"/>
  <c r="G129" i="3"/>
  <c r="H129" i="3" s="1"/>
  <c r="G176" i="3"/>
  <c r="H176" i="3" s="1"/>
  <c r="G183" i="3"/>
  <c r="H183" i="3" s="1"/>
  <c r="G212" i="3"/>
  <c r="H212" i="3" s="1"/>
  <c r="G284" i="3"/>
  <c r="H284" i="3" s="1"/>
  <c r="G251" i="3"/>
  <c r="H251" i="3" s="1"/>
  <c r="G70" i="3"/>
  <c r="H70" i="3" s="1"/>
  <c r="G223" i="3"/>
  <c r="H223" i="3" s="1"/>
  <c r="G53" i="3"/>
  <c r="H53" i="3" s="1"/>
  <c r="G104" i="3"/>
  <c r="H104" i="3" s="1"/>
  <c r="G145" i="3"/>
  <c r="H145" i="3" s="1"/>
  <c r="G265" i="3"/>
  <c r="H265" i="3" s="1"/>
  <c r="G238" i="3"/>
  <c r="H238" i="3" s="1"/>
  <c r="G35" i="3"/>
  <c r="H35" i="3" s="1"/>
  <c r="G58" i="3"/>
  <c r="H58" i="3" s="1"/>
  <c r="G33" i="3"/>
  <c r="H33" i="3" s="1"/>
  <c r="G80" i="3"/>
  <c r="H80" i="3" s="1"/>
  <c r="G15" i="3"/>
  <c r="H15" i="3" s="1"/>
  <c r="G30" i="3"/>
  <c r="H30" i="3" s="1"/>
  <c r="G82" i="3"/>
  <c r="H82" i="3" s="1"/>
  <c r="G106" i="3"/>
  <c r="H106" i="3" s="1"/>
  <c r="G83" i="3"/>
  <c r="H83" i="3" s="1"/>
  <c r="G192" i="3"/>
  <c r="H192" i="3" s="1"/>
  <c r="G260" i="3"/>
  <c r="H260" i="3" s="1"/>
  <c r="G19" i="3"/>
  <c r="H19" i="3" s="1"/>
  <c r="G50" i="3"/>
  <c r="H50" i="3" s="1"/>
  <c r="G89" i="3"/>
  <c r="H89" i="3" s="1"/>
  <c r="G136" i="3"/>
  <c r="H136" i="3" s="1"/>
  <c r="G71" i="3"/>
  <c r="H71" i="3" s="1"/>
  <c r="G36" i="3"/>
  <c r="H36" i="3" s="1"/>
  <c r="G154" i="3"/>
  <c r="H154" i="3" s="1"/>
  <c r="G14" i="3"/>
  <c r="H14" i="3" s="1"/>
  <c r="G56" i="3"/>
  <c r="H56" i="3" s="1"/>
  <c r="G22" i="3"/>
  <c r="H22" i="3" s="1"/>
  <c r="G153" i="3"/>
  <c r="H153" i="3" s="1"/>
  <c r="G200" i="3"/>
  <c r="H200" i="3" s="1"/>
  <c r="G135" i="3"/>
  <c r="H135" i="3" s="1"/>
  <c r="G100" i="3"/>
  <c r="H100" i="3" s="1"/>
  <c r="G126" i="3"/>
  <c r="H126" i="3" s="1"/>
  <c r="G166" i="3"/>
  <c r="H166" i="3" s="1"/>
  <c r="G232" i="3"/>
  <c r="H232" i="3" s="1"/>
  <c r="G114" i="3"/>
  <c r="H114" i="3" s="1"/>
  <c r="G127" i="3"/>
  <c r="H127" i="3" s="1"/>
  <c r="G92" i="3"/>
  <c r="H92" i="3" s="1"/>
  <c r="G59" i="3"/>
  <c r="H59" i="3" s="1"/>
  <c r="G236" i="3"/>
  <c r="H236" i="3" s="1"/>
  <c r="G108" i="3"/>
  <c r="H108" i="3" s="1"/>
  <c r="G203" i="3"/>
  <c r="H203" i="3" s="1"/>
  <c r="G38" i="3"/>
  <c r="H38" i="3" s="1"/>
  <c r="G191" i="3"/>
  <c r="H191" i="3" s="1"/>
  <c r="G174" i="3"/>
  <c r="H174" i="3" s="1"/>
  <c r="G299" i="3"/>
  <c r="H299" i="3" s="1"/>
  <c r="G280" i="3"/>
  <c r="H280" i="3" s="1"/>
  <c r="G77" i="3"/>
  <c r="H77" i="3" s="1"/>
  <c r="G49" i="3"/>
  <c r="H49" i="3" s="1"/>
  <c r="G271" i="3"/>
  <c r="H271" i="3" s="1"/>
  <c r="G274" i="3"/>
  <c r="H274" i="3" s="1"/>
  <c r="G20" i="3"/>
  <c r="H20" i="3" s="1"/>
  <c r="G201" i="3"/>
  <c r="H201" i="3" s="1"/>
  <c r="G60" i="3"/>
  <c r="H60" i="3" s="1"/>
  <c r="G99" i="3"/>
  <c r="H99" i="3" s="1"/>
  <c r="G122" i="3"/>
  <c r="H122" i="3" s="1"/>
  <c r="G97" i="3"/>
  <c r="H97" i="3" s="1"/>
  <c r="G144" i="3"/>
  <c r="H144" i="3" s="1"/>
  <c r="G79" i="3"/>
  <c r="H79" i="3" s="1"/>
  <c r="G139" i="3"/>
  <c r="H139" i="3" s="1"/>
  <c r="G234" i="3"/>
  <c r="H234" i="3" s="1"/>
  <c r="G282" i="3"/>
  <c r="H282" i="3" s="1"/>
  <c r="G227" i="3"/>
  <c r="H227" i="3" s="1"/>
  <c r="G142" i="3"/>
  <c r="H142" i="3" s="1"/>
  <c r="G120" i="3"/>
  <c r="H120" i="3" s="1"/>
  <c r="G300" i="3"/>
  <c r="H300" i="3" s="1"/>
  <c r="G193" i="3"/>
  <c r="H193" i="3" s="1"/>
  <c r="G243" i="3"/>
  <c r="H243" i="3" s="1"/>
  <c r="G237" i="3"/>
  <c r="H237" i="3" s="1"/>
  <c r="G133" i="3"/>
  <c r="H133" i="3" s="1"/>
  <c r="G254" i="3"/>
  <c r="H254" i="3" s="1"/>
  <c r="G268" i="3"/>
  <c r="H268" i="3" s="1"/>
  <c r="G233" i="3"/>
  <c r="H233" i="3" s="1"/>
  <c r="G241" i="3"/>
  <c r="H241" i="3" s="1"/>
  <c r="G293" i="3"/>
  <c r="H293" i="3" s="1"/>
  <c r="G213" i="3"/>
  <c r="H213" i="3" s="1"/>
  <c r="G128" i="3"/>
  <c r="H128" i="3" s="1"/>
  <c r="G244" i="3"/>
  <c r="H244" i="3" s="1"/>
  <c r="G283" i="3"/>
  <c r="H283" i="3" s="1"/>
  <c r="G27" i="3"/>
  <c r="H27" i="3" s="1"/>
  <c r="G296" i="3"/>
  <c r="H296" i="3" s="1"/>
  <c r="G147" i="3"/>
  <c r="H147" i="3" s="1"/>
  <c r="G84" i="3"/>
  <c r="H84" i="3" s="1"/>
  <c r="G91" i="3"/>
  <c r="H91" i="3" s="1"/>
  <c r="G275" i="3"/>
  <c r="H275" i="3" s="1"/>
  <c r="G306" i="3"/>
  <c r="H306" i="3" s="1"/>
  <c r="G221" i="3"/>
  <c r="H221" i="3" s="1"/>
  <c r="G206" i="3"/>
  <c r="H206" i="3" s="1"/>
  <c r="G205" i="3"/>
  <c r="H205" i="3" s="1"/>
  <c r="G292" i="3"/>
  <c r="H292" i="3" s="1"/>
  <c r="G26" i="3"/>
  <c r="H26" i="3" s="1"/>
  <c r="G137" i="3"/>
  <c r="H137" i="3" s="1"/>
  <c r="G185" i="3"/>
  <c r="H185" i="3" s="1"/>
  <c r="G188" i="3"/>
  <c r="H188" i="3" s="1"/>
  <c r="G55" i="3"/>
  <c r="H55" i="3" s="1"/>
  <c r="G31" i="3"/>
  <c r="H31" i="3" s="1"/>
  <c r="G226" i="3"/>
  <c r="H226" i="3" s="1"/>
  <c r="G273" i="3"/>
  <c r="H273" i="3" s="1"/>
  <c r="G85" i="3"/>
  <c r="H85" i="3" s="1"/>
  <c r="G141" i="3"/>
  <c r="H141" i="3" s="1"/>
  <c r="G16" i="3"/>
  <c r="H16" i="3" s="1"/>
  <c r="G245" i="3"/>
  <c r="H245" i="3" s="1"/>
  <c r="G210" i="3"/>
  <c r="H210" i="3" s="1"/>
  <c r="G13" i="3"/>
  <c r="H13" i="3" s="1"/>
  <c r="G54" i="3"/>
  <c r="H54" i="3" s="1"/>
  <c r="G295" i="3"/>
  <c r="H295" i="3" s="1"/>
  <c r="G281" i="3"/>
  <c r="H281" i="3" s="1"/>
  <c r="G78" i="3"/>
  <c r="H78" i="3" s="1"/>
  <c r="G103" i="3"/>
  <c r="H103" i="3" s="1"/>
  <c r="G140" i="3"/>
  <c r="H140" i="3" s="1"/>
  <c r="G171" i="3"/>
  <c r="H171" i="3" s="1"/>
  <c r="G130" i="3"/>
  <c r="H130" i="3" s="1"/>
  <c r="G105" i="3"/>
  <c r="H105" i="3" s="1"/>
  <c r="G152" i="3"/>
  <c r="H152" i="3" s="1"/>
  <c r="G168" i="3"/>
  <c r="H168" i="3" s="1"/>
  <c r="G239" i="3"/>
  <c r="H239" i="3" s="1"/>
  <c r="G287" i="3"/>
  <c r="H287" i="3" s="1"/>
  <c r="G252" i="3"/>
  <c r="H252" i="3" s="1"/>
  <c r="G117" i="3"/>
  <c r="H117" i="3" s="1"/>
  <c r="G151" i="3"/>
  <c r="H151" i="3" s="1"/>
  <c r="G124" i="3"/>
  <c r="H124" i="3" s="1"/>
  <c r="G163" i="3"/>
  <c r="H163" i="3" s="1"/>
  <c r="G186" i="3"/>
  <c r="H186" i="3" s="1"/>
  <c r="G161" i="3"/>
  <c r="H161" i="3" s="1"/>
  <c r="G208" i="3"/>
  <c r="H208" i="3" s="1"/>
  <c r="G143" i="3"/>
  <c r="H143" i="3" s="1"/>
  <c r="G61" i="3"/>
  <c r="H61" i="3" s="1"/>
  <c r="G11" i="3"/>
  <c r="H11" i="3" s="1"/>
  <c r="G67" i="3"/>
  <c r="H67" i="3" s="1"/>
  <c r="G17" i="3"/>
  <c r="H17" i="3" s="1"/>
  <c r="G250" i="3"/>
  <c r="H250" i="3" s="1"/>
  <c r="G225" i="3"/>
  <c r="H225" i="3" s="1"/>
  <c r="G272" i="3"/>
  <c r="H272" i="3" s="1"/>
  <c r="G207" i="3"/>
  <c r="H207" i="3" s="1"/>
  <c r="G68" i="3"/>
  <c r="H68" i="3" s="1"/>
  <c r="G195" i="3"/>
  <c r="H195" i="3" s="1"/>
  <c r="G219" i="3"/>
  <c r="H219" i="3" s="1"/>
  <c r="G81" i="3"/>
  <c r="H81" i="3" s="1"/>
  <c r="G264" i="3"/>
  <c r="H264" i="3" s="1"/>
  <c r="G199" i="3"/>
  <c r="H199" i="3" s="1"/>
  <c r="G164" i="3"/>
  <c r="H164" i="3" s="1"/>
  <c r="G113" i="3"/>
  <c r="H113" i="3" s="1"/>
  <c r="G44" i="3"/>
  <c r="H44" i="3" s="1"/>
  <c r="G196" i="3"/>
  <c r="H196" i="3" s="1"/>
  <c r="G215" i="3"/>
  <c r="H215" i="3" s="1"/>
  <c r="G258" i="3"/>
  <c r="H258" i="3" s="1"/>
  <c r="G248" i="3"/>
  <c r="H248" i="3" s="1"/>
  <c r="G297" i="3"/>
  <c r="H297" i="3" s="1"/>
  <c r="G110" i="3"/>
  <c r="H110" i="3" s="1"/>
  <c r="G165" i="3"/>
  <c r="H165" i="3" s="1"/>
  <c r="G189" i="3"/>
  <c r="H189" i="3" s="1"/>
  <c r="G125" i="3"/>
  <c r="H125" i="3" s="1"/>
  <c r="G198" i="3"/>
  <c r="H198" i="3" s="1"/>
  <c r="G167" i="3"/>
  <c r="H167" i="3" s="1"/>
  <c r="G204" i="3"/>
  <c r="H204" i="3" s="1"/>
  <c r="G235" i="3"/>
  <c r="H235" i="3" s="1"/>
  <c r="G194" i="3"/>
  <c r="H194" i="3" s="1"/>
  <c r="G169" i="3"/>
  <c r="H169" i="3" s="1"/>
  <c r="G216" i="3"/>
  <c r="H216" i="3" s="1"/>
  <c r="G253" i="3"/>
  <c r="H253" i="3" s="1"/>
  <c r="G40" i="3"/>
  <c r="H40" i="3" s="1"/>
  <c r="G96" i="3"/>
  <c r="H96" i="3" s="1"/>
  <c r="G178" i="3"/>
  <c r="H178" i="3" s="1"/>
  <c r="G51" i="3"/>
  <c r="H51" i="3" s="1"/>
  <c r="G9" i="3"/>
  <c r="H9" i="3" s="1"/>
  <c r="G134" i="3"/>
  <c r="H134" i="3" s="1"/>
  <c r="G101" i="3"/>
  <c r="H101" i="3" s="1"/>
  <c r="G289" i="3"/>
  <c r="H289" i="3" s="1"/>
  <c r="G64" i="3"/>
  <c r="H64" i="3" s="1"/>
  <c r="G73" i="3"/>
  <c r="H73" i="3" s="1"/>
  <c r="G21" i="3"/>
  <c r="H21" i="3" s="1"/>
  <c r="G156" i="3"/>
  <c r="H156" i="3" s="1"/>
  <c r="G150" i="3"/>
  <c r="H150" i="3" s="1"/>
  <c r="G86" i="3"/>
  <c r="H86" i="3" s="1"/>
  <c r="G12" i="3"/>
  <c r="H12" i="3" s="1"/>
  <c r="G43" i="3"/>
  <c r="H43" i="3" s="1"/>
  <c r="G302" i="3"/>
  <c r="H302" i="3" s="1"/>
  <c r="G24" i="3"/>
  <c r="H24" i="3" s="1"/>
  <c r="G277" i="3"/>
  <c r="H277" i="3" s="1"/>
  <c r="G116" i="3"/>
  <c r="H116" i="3" s="1"/>
  <c r="G149" i="3"/>
  <c r="H149" i="3" s="1"/>
  <c r="G94" i="3"/>
  <c r="H94" i="3" s="1"/>
  <c r="G270" i="3"/>
  <c r="H270" i="3" s="1"/>
  <c r="G66" i="3"/>
  <c r="H66" i="3" s="1"/>
  <c r="G41" i="3"/>
  <c r="H41" i="3" s="1"/>
  <c r="G88" i="3"/>
  <c r="H88" i="3" s="1"/>
  <c r="G182" i="3"/>
  <c r="H182" i="3" s="1"/>
  <c r="G87" i="3"/>
  <c r="H87" i="3" s="1"/>
  <c r="G111" i="3"/>
  <c r="H111" i="3" s="1"/>
  <c r="G34" i="3"/>
  <c r="H34" i="3" s="1"/>
  <c r="G261" i="3"/>
  <c r="H261" i="3" s="1"/>
  <c r="G240" i="3"/>
  <c r="H240" i="3" s="1"/>
  <c r="G247" i="3"/>
  <c r="H247" i="3" s="1"/>
  <c r="G276" i="3"/>
  <c r="H276" i="3" s="1"/>
  <c r="G202" i="3"/>
  <c r="H202" i="3" s="1"/>
  <c r="G218" i="3"/>
  <c r="H218" i="3" s="1"/>
  <c r="G75" i="3"/>
  <c r="H75" i="3" s="1"/>
  <c r="G231" i="3"/>
  <c r="H231" i="3" s="1"/>
  <c r="G224" i="3"/>
  <c r="H224" i="3" s="1"/>
  <c r="G267" i="3"/>
  <c r="H267" i="3" s="1"/>
  <c r="G190" i="3"/>
  <c r="H190" i="3" s="1"/>
  <c r="G28" i="3"/>
  <c r="H28" i="3" s="1"/>
  <c r="G257" i="3"/>
  <c r="H257" i="3" s="1"/>
  <c r="G304" i="3"/>
  <c r="H304" i="3" s="1"/>
  <c r="G93" i="3"/>
  <c r="H93" i="3" s="1"/>
  <c r="G157" i="3"/>
  <c r="H157" i="3" s="1"/>
  <c r="G307" i="3"/>
  <c r="H307" i="3" s="1"/>
  <c r="G266" i="3"/>
  <c r="H266" i="3" s="1"/>
  <c r="G131" i="3"/>
  <c r="H131" i="3" s="1"/>
  <c r="G294" i="3"/>
  <c r="H294" i="3" s="1"/>
  <c r="G90" i="3"/>
  <c r="H90" i="3" s="1"/>
  <c r="G259" i="3"/>
  <c r="H259" i="3" s="1"/>
  <c r="G98" i="3"/>
  <c r="H98" i="3" s="1"/>
  <c r="G123" i="3"/>
  <c r="H123" i="3" s="1"/>
  <c r="G211" i="3"/>
  <c r="H211" i="3" s="1"/>
  <c r="G269" i="3"/>
  <c r="H269" i="3" s="1"/>
  <c r="G65" i="3"/>
  <c r="H65" i="3" s="1"/>
  <c r="G112" i="3"/>
  <c r="H112" i="3" s="1"/>
  <c r="G119" i="3"/>
  <c r="H119" i="3" s="1"/>
  <c r="G148" i="3"/>
  <c r="H148" i="3" s="1"/>
  <c r="G115" i="3"/>
  <c r="H115" i="3" s="1"/>
  <c r="G74" i="3"/>
  <c r="H74" i="3" s="1"/>
  <c r="G18" i="3"/>
  <c r="H18" i="3" s="1"/>
  <c r="G305" i="3"/>
  <c r="H305" i="3" s="1"/>
  <c r="G159" i="3"/>
  <c r="H159" i="3" s="1"/>
  <c r="G146" i="3"/>
  <c r="H146" i="3" s="1"/>
  <c r="G217" i="3"/>
  <c r="H217" i="3" s="1"/>
  <c r="G263" i="3"/>
  <c r="H263" i="3" s="1"/>
  <c r="G172" i="3"/>
  <c r="H172" i="3" s="1"/>
  <c r="G39" i="3"/>
  <c r="H39" i="3" s="1"/>
  <c r="G76" i="3"/>
  <c r="H76" i="3" s="1"/>
  <c r="G107" i="3"/>
  <c r="H107" i="3" s="1"/>
  <c r="G179" i="3"/>
  <c r="H179" i="3" s="1"/>
  <c r="G138" i="3"/>
  <c r="H138" i="3" s="1"/>
  <c r="G170" i="3"/>
  <c r="H170" i="3" s="1"/>
  <c r="G42" i="3"/>
  <c r="H42" i="3" s="1"/>
  <c r="G177" i="3"/>
  <c r="H177" i="3" s="1"/>
  <c r="G298" i="3"/>
  <c r="H298" i="3" s="1"/>
  <c r="G291" i="3"/>
  <c r="H291" i="3" s="1"/>
  <c r="G10" i="3"/>
  <c r="H10" i="3" s="1"/>
  <c r="G290" i="3"/>
  <c r="H290" i="3" s="1"/>
  <c r="G173" i="3"/>
  <c r="H173" i="3" s="1"/>
  <c r="G158" i="3"/>
  <c r="H158" i="3" s="1"/>
  <c r="G286" i="3"/>
  <c r="H286" i="3" s="1"/>
  <c r="G197" i="3"/>
  <c r="H197" i="3" s="1"/>
  <c r="G37" i="3"/>
  <c r="H37" i="3" s="1"/>
  <c r="G160" i="3"/>
  <c r="H160" i="3" s="1"/>
  <c r="G32" i="3"/>
  <c r="H32" i="3" s="1"/>
  <c r="G95" i="3"/>
  <c r="H95" i="3" s="1"/>
  <c r="G288" i="3"/>
  <c r="H288" i="3" s="1"/>
  <c r="G48" i="3"/>
  <c r="H48" i="3" s="1"/>
  <c r="G249" i="3"/>
  <c r="H249" i="3" s="1"/>
  <c r="G69" i="3"/>
  <c r="H69" i="3" s="1"/>
  <c r="G62" i="3"/>
  <c r="H62" i="3" s="1"/>
  <c r="G230" i="3"/>
  <c r="H230" i="3" s="1"/>
  <c r="G214" i="3"/>
  <c r="H214" i="3" s="1"/>
  <c r="G46" i="3"/>
  <c r="H46" i="3" s="1"/>
  <c r="G155" i="3"/>
  <c r="H155" i="3" s="1"/>
  <c r="G278" i="3"/>
  <c r="H278" i="3" s="1"/>
  <c r="G63" i="3"/>
  <c r="H63" i="3" s="1"/>
  <c r="G246" i="3"/>
  <c r="H246" i="3" s="1"/>
  <c r="G52" i="3"/>
  <c r="H52" i="3" s="1"/>
  <c r="G109" i="3"/>
  <c r="H109" i="3" s="1"/>
  <c r="G180" i="3"/>
  <c r="H180" i="3" s="1"/>
  <c r="G301" i="3"/>
  <c r="H301" i="3" s="1"/>
  <c r="G57" i="3"/>
  <c r="H57" i="3" s="1"/>
  <c r="J8" i="3" l="1"/>
  <c r="H308" i="3"/>
  <c r="H6" i="3" s="1"/>
  <c r="C278" i="55"/>
  <c r="J278" i="3"/>
  <c r="C48" i="55"/>
  <c r="J48" i="3"/>
  <c r="C158" i="55"/>
  <c r="J158" i="3"/>
  <c r="C170" i="55"/>
  <c r="J170" i="3"/>
  <c r="C217" i="55"/>
  <c r="J217" i="3"/>
  <c r="C119" i="55"/>
  <c r="J119" i="3"/>
  <c r="C90" i="55"/>
  <c r="J90" i="3"/>
  <c r="C257" i="55"/>
  <c r="J257" i="3"/>
  <c r="C202" i="55"/>
  <c r="J202" i="3"/>
  <c r="C182" i="55"/>
  <c r="J182" i="3"/>
  <c r="C277" i="55"/>
  <c r="J277" i="3"/>
  <c r="C21" i="55"/>
  <c r="J21" i="3"/>
  <c r="C178" i="55"/>
  <c r="J178" i="3"/>
  <c r="C204" i="55"/>
  <c r="J204" i="3"/>
  <c r="C248" i="55"/>
  <c r="J248" i="3"/>
  <c r="C264" i="55"/>
  <c r="J264" i="3"/>
  <c r="C250" i="55"/>
  <c r="J250" i="3"/>
  <c r="C186" i="55"/>
  <c r="J186" i="3"/>
  <c r="C168" i="55"/>
  <c r="J168" i="3"/>
  <c r="C281" i="55"/>
  <c r="J281" i="3"/>
  <c r="C85" i="55"/>
  <c r="J85" i="3"/>
  <c r="C26" i="55"/>
  <c r="J26" i="3"/>
  <c r="C84" i="55"/>
  <c r="J84" i="3"/>
  <c r="C293" i="55"/>
  <c r="J293" i="3"/>
  <c r="C193" i="55"/>
  <c r="J193" i="3"/>
  <c r="C79" i="55"/>
  <c r="J79" i="3"/>
  <c r="C274" i="55"/>
  <c r="J274" i="3"/>
  <c r="C38" i="55"/>
  <c r="J38" i="3"/>
  <c r="C232" i="55"/>
  <c r="J232" i="3"/>
  <c r="C56" i="55"/>
  <c r="J56" i="3"/>
  <c r="C19" i="55"/>
  <c r="J19" i="3"/>
  <c r="C80" i="55"/>
  <c r="J80" i="3"/>
  <c r="C53" i="55"/>
  <c r="J53" i="3"/>
  <c r="C129" i="55"/>
  <c r="J129" i="3"/>
  <c r="C220" i="55"/>
  <c r="J220" i="3"/>
  <c r="C23" i="55"/>
  <c r="J23" i="3"/>
  <c r="C72" i="55"/>
  <c r="J72" i="3"/>
  <c r="C46" i="55"/>
  <c r="J46" i="3"/>
  <c r="C247" i="55"/>
  <c r="J247" i="3"/>
  <c r="C105" i="55"/>
  <c r="J105" i="3"/>
  <c r="C256" i="55"/>
  <c r="J256" i="3"/>
  <c r="C57" i="55"/>
  <c r="J57" i="3"/>
  <c r="C155" i="55"/>
  <c r="J155" i="3"/>
  <c r="C288" i="55"/>
  <c r="J288" i="3"/>
  <c r="C173" i="55"/>
  <c r="J173" i="3"/>
  <c r="C138" i="55"/>
  <c r="J138" i="3"/>
  <c r="C146" i="55"/>
  <c r="J146" i="3"/>
  <c r="C112" i="55"/>
  <c r="J112" i="3"/>
  <c r="C294" i="55"/>
  <c r="J294" i="3"/>
  <c r="C28" i="55"/>
  <c r="J28" i="3"/>
  <c r="C276" i="55"/>
  <c r="J276" i="3"/>
  <c r="C88" i="55"/>
  <c r="J88" i="3"/>
  <c r="C24" i="55"/>
  <c r="J24" i="3"/>
  <c r="C73" i="55"/>
  <c r="J73" i="3"/>
  <c r="C96" i="55"/>
  <c r="J96" i="3"/>
  <c r="C167" i="55"/>
  <c r="J167" i="3"/>
  <c r="C258" i="55"/>
  <c r="J258" i="3"/>
  <c r="C81" i="55"/>
  <c r="J81" i="3"/>
  <c r="C17" i="55"/>
  <c r="J17" i="3"/>
  <c r="C163" i="55"/>
  <c r="J163" i="3"/>
  <c r="C152" i="55"/>
  <c r="J152" i="3"/>
  <c r="C295" i="55"/>
  <c r="J295" i="3"/>
  <c r="C273" i="55"/>
  <c r="J273" i="3"/>
  <c r="C292" i="55"/>
  <c r="J292" i="3"/>
  <c r="C147" i="55"/>
  <c r="J147" i="3"/>
  <c r="C241" i="55"/>
  <c r="J241" i="3"/>
  <c r="C300" i="55"/>
  <c r="J300" i="3"/>
  <c r="C144" i="55"/>
  <c r="J144" i="3"/>
  <c r="C271" i="55"/>
  <c r="J271" i="3"/>
  <c r="C203" i="55"/>
  <c r="J203" i="3"/>
  <c r="C166" i="55"/>
  <c r="J166" i="3"/>
  <c r="C14" i="55"/>
  <c r="J14" i="3"/>
  <c r="C260" i="55"/>
  <c r="J260" i="3"/>
  <c r="C33" i="55"/>
  <c r="J33" i="3"/>
  <c r="C223" i="55"/>
  <c r="J223" i="3"/>
  <c r="C228" i="55"/>
  <c r="J228" i="3"/>
  <c r="C255" i="55"/>
  <c r="J255" i="3"/>
  <c r="C242" i="55"/>
  <c r="J242" i="3"/>
  <c r="C25" i="55"/>
  <c r="J25" i="3"/>
  <c r="C13" i="55"/>
  <c r="J13" i="3"/>
  <c r="C251" i="55"/>
  <c r="J251" i="3"/>
  <c r="C301" i="55"/>
  <c r="J301" i="3"/>
  <c r="C159" i="55"/>
  <c r="J159" i="3"/>
  <c r="C190" i="55"/>
  <c r="J190" i="3"/>
  <c r="C64" i="55"/>
  <c r="J64" i="3"/>
  <c r="C215" i="55"/>
  <c r="J215" i="3"/>
  <c r="C124" i="55"/>
  <c r="J124" i="3"/>
  <c r="C205" i="55"/>
  <c r="J205" i="3"/>
  <c r="C233" i="55"/>
  <c r="J233" i="3"/>
  <c r="C97" i="55"/>
  <c r="J97" i="3"/>
  <c r="C126" i="55"/>
  <c r="J126" i="3"/>
  <c r="C192" i="55"/>
  <c r="J192" i="3"/>
  <c r="C29" i="55"/>
  <c r="J29" i="3"/>
  <c r="C222" i="55"/>
  <c r="J222" i="3"/>
  <c r="C180" i="55"/>
  <c r="J180" i="3"/>
  <c r="C32" i="55"/>
  <c r="J32" i="3"/>
  <c r="C107" i="55"/>
  <c r="J107" i="3"/>
  <c r="C269" i="55"/>
  <c r="J269" i="3"/>
  <c r="C267" i="55"/>
  <c r="J267" i="3"/>
  <c r="C66" i="55"/>
  <c r="J66" i="3"/>
  <c r="C289" i="55"/>
  <c r="J289" i="3"/>
  <c r="C196" i="55"/>
  <c r="J196" i="3"/>
  <c r="C11" i="55"/>
  <c r="J11" i="3"/>
  <c r="C130" i="55"/>
  <c r="J130" i="3"/>
  <c r="C206" i="55"/>
  <c r="J206" i="3"/>
  <c r="C268" i="55"/>
  <c r="J268" i="3"/>
  <c r="C122" i="55"/>
  <c r="J122" i="3"/>
  <c r="C236" i="55"/>
  <c r="J236" i="3"/>
  <c r="C36" i="55"/>
  <c r="J36" i="3"/>
  <c r="C35" i="55"/>
  <c r="J35" i="3"/>
  <c r="C209" i="55"/>
  <c r="J209" i="3"/>
  <c r="C285" i="55"/>
  <c r="J285" i="3"/>
  <c r="C109" i="55"/>
  <c r="J109" i="3"/>
  <c r="C230" i="55"/>
  <c r="J230" i="3"/>
  <c r="C160" i="55"/>
  <c r="J160" i="3"/>
  <c r="C291" i="55"/>
  <c r="J291" i="3"/>
  <c r="C76" i="55"/>
  <c r="J76" i="3"/>
  <c r="C18" i="55"/>
  <c r="J18" i="3"/>
  <c r="C211" i="55"/>
  <c r="J211" i="3"/>
  <c r="C307" i="55"/>
  <c r="J307" i="3"/>
  <c r="C224" i="55"/>
  <c r="J224" i="3"/>
  <c r="C261" i="55"/>
  <c r="J261" i="3"/>
  <c r="C270" i="55"/>
  <c r="J270" i="3"/>
  <c r="C12" i="55"/>
  <c r="J12" i="3"/>
  <c r="C101" i="55"/>
  <c r="J101" i="3"/>
  <c r="C216" i="55"/>
  <c r="J216" i="3"/>
  <c r="C189" i="55"/>
  <c r="J189" i="3"/>
  <c r="C44" i="55"/>
  <c r="J44" i="3"/>
  <c r="C68" i="55"/>
  <c r="J68" i="3"/>
  <c r="C61" i="55"/>
  <c r="J61" i="3"/>
  <c r="C117" i="55"/>
  <c r="J117" i="3"/>
  <c r="C171" i="55"/>
  <c r="J171" i="3"/>
  <c r="C210" i="55"/>
  <c r="J210" i="3"/>
  <c r="C55" i="55"/>
  <c r="J55" i="3"/>
  <c r="C221" i="55"/>
  <c r="J221" i="3"/>
  <c r="C283" i="55"/>
  <c r="J283" i="3"/>
  <c r="C254" i="55"/>
  <c r="J254" i="3"/>
  <c r="C227" i="55"/>
  <c r="J227" i="3"/>
  <c r="C99" i="55"/>
  <c r="J99" i="3"/>
  <c r="C280" i="55"/>
  <c r="J280" i="3"/>
  <c r="C59" i="55"/>
  <c r="J59" i="3"/>
  <c r="C135" i="55"/>
  <c r="J135" i="3"/>
  <c r="C71" i="55"/>
  <c r="J71" i="3"/>
  <c r="C106" i="55"/>
  <c r="J106" i="3"/>
  <c r="C238" i="55"/>
  <c r="J238" i="3"/>
  <c r="C284" i="55"/>
  <c r="J284" i="3"/>
  <c r="C132" i="55"/>
  <c r="J132" i="3"/>
  <c r="C162" i="55"/>
  <c r="J162" i="3"/>
  <c r="C184" i="55"/>
  <c r="J184" i="3"/>
  <c r="C290" i="55"/>
  <c r="J290" i="3"/>
  <c r="C65" i="55"/>
  <c r="J65" i="3"/>
  <c r="C41" i="55"/>
  <c r="J41" i="3"/>
  <c r="C219" i="55"/>
  <c r="J219" i="3"/>
  <c r="C54" i="55"/>
  <c r="J54" i="3"/>
  <c r="C49" i="55"/>
  <c r="J49" i="3"/>
  <c r="C125" i="55"/>
  <c r="J125" i="3"/>
  <c r="C52" i="55"/>
  <c r="J52" i="3"/>
  <c r="C62" i="55"/>
  <c r="J62" i="3"/>
  <c r="C37" i="55"/>
  <c r="J37" i="3"/>
  <c r="C298" i="55"/>
  <c r="J298" i="3"/>
  <c r="C39" i="55"/>
  <c r="J39" i="3"/>
  <c r="C74" i="55"/>
  <c r="J74" i="3"/>
  <c r="C123" i="55"/>
  <c r="J123" i="3"/>
  <c r="C157" i="55"/>
  <c r="J157" i="3"/>
  <c r="C231" i="55"/>
  <c r="J231" i="3"/>
  <c r="C34" i="55"/>
  <c r="J34" i="3"/>
  <c r="C94" i="55"/>
  <c r="J94" i="3"/>
  <c r="C86" i="55"/>
  <c r="J86" i="3"/>
  <c r="C134" i="55"/>
  <c r="J134" i="3"/>
  <c r="C169" i="55"/>
  <c r="J169" i="3"/>
  <c r="C165" i="55"/>
  <c r="J165" i="3"/>
  <c r="C113" i="55"/>
  <c r="J113" i="3"/>
  <c r="C207" i="55"/>
  <c r="J207" i="3"/>
  <c r="C143" i="55"/>
  <c r="J143" i="3"/>
  <c r="C252" i="55"/>
  <c r="J252" i="3"/>
  <c r="C140" i="55"/>
  <c r="J140" i="3"/>
  <c r="C245" i="55"/>
  <c r="J245" i="3"/>
  <c r="C188" i="55"/>
  <c r="J188" i="3"/>
  <c r="C306" i="55"/>
  <c r="J306" i="3"/>
  <c r="C244" i="55"/>
  <c r="J244" i="3"/>
  <c r="C133" i="55"/>
  <c r="J133" i="3"/>
  <c r="C282" i="55"/>
  <c r="J282" i="3"/>
  <c r="C60" i="55"/>
  <c r="J60" i="3"/>
  <c r="C299" i="55"/>
  <c r="J299" i="3"/>
  <c r="C92" i="55"/>
  <c r="J92" i="3"/>
  <c r="C200" i="55"/>
  <c r="J200" i="3"/>
  <c r="C136" i="55"/>
  <c r="J136" i="3"/>
  <c r="C82" i="55"/>
  <c r="J82" i="3"/>
  <c r="C265" i="55"/>
  <c r="J265" i="3"/>
  <c r="C212" i="55"/>
  <c r="J212" i="3"/>
  <c r="C47" i="55"/>
  <c r="J47" i="3"/>
  <c r="C121" i="55"/>
  <c r="J121" i="3"/>
  <c r="C45" i="55"/>
  <c r="J45" i="3"/>
  <c r="C179" i="55"/>
  <c r="J179" i="3"/>
  <c r="C131" i="55"/>
  <c r="J131" i="3"/>
  <c r="C302" i="55"/>
  <c r="J302" i="3"/>
  <c r="C198" i="55"/>
  <c r="J198" i="3"/>
  <c r="C67" i="55"/>
  <c r="J67" i="3"/>
  <c r="C226" i="55"/>
  <c r="J226" i="3"/>
  <c r="C296" i="55"/>
  <c r="J296" i="3"/>
  <c r="C120" i="55"/>
  <c r="J120" i="3"/>
  <c r="C108" i="55"/>
  <c r="J108" i="3"/>
  <c r="C154" i="55"/>
  <c r="J154" i="3"/>
  <c r="C58" i="55"/>
  <c r="J58" i="3"/>
  <c r="C181" i="55"/>
  <c r="J181" i="3"/>
  <c r="C214" i="55"/>
  <c r="J214" i="3"/>
  <c r="C10" i="55"/>
  <c r="J10" i="3"/>
  <c r="C305" i="55"/>
  <c r="J305" i="3"/>
  <c r="C266" i="55"/>
  <c r="J266" i="3"/>
  <c r="C240" i="55"/>
  <c r="J240" i="3"/>
  <c r="C43" i="55"/>
  <c r="J43" i="3"/>
  <c r="C253" i="55"/>
  <c r="J253" i="3"/>
  <c r="C195" i="55"/>
  <c r="J195" i="3"/>
  <c r="C151" i="55"/>
  <c r="J151" i="3"/>
  <c r="C31" i="55"/>
  <c r="J31" i="3"/>
  <c r="C27" i="55"/>
  <c r="J27" i="3"/>
  <c r="C142" i="55"/>
  <c r="J142" i="3"/>
  <c r="C77" i="55"/>
  <c r="J77" i="3"/>
  <c r="C100" i="55"/>
  <c r="J100" i="3"/>
  <c r="C83" i="55"/>
  <c r="J83" i="3"/>
  <c r="C303" i="55"/>
  <c r="J303" i="3"/>
  <c r="C279" i="55"/>
  <c r="J279" i="3"/>
  <c r="C246" i="55"/>
  <c r="J246" i="3"/>
  <c r="C69" i="55"/>
  <c r="J69" i="3"/>
  <c r="C197" i="55"/>
  <c r="J197" i="3"/>
  <c r="C177" i="55"/>
  <c r="J177" i="3"/>
  <c r="C172" i="55"/>
  <c r="J172" i="3"/>
  <c r="C115" i="55"/>
  <c r="J115" i="3"/>
  <c r="C98" i="55"/>
  <c r="J98" i="3"/>
  <c r="C93" i="55"/>
  <c r="J93" i="3"/>
  <c r="C75" i="55"/>
  <c r="J75" i="3"/>
  <c r="C111" i="55"/>
  <c r="J111" i="3"/>
  <c r="C149" i="55"/>
  <c r="J149" i="3"/>
  <c r="C150" i="55"/>
  <c r="J150" i="3"/>
  <c r="C9" i="55"/>
  <c r="J9" i="3"/>
  <c r="C194" i="55"/>
  <c r="J194" i="3"/>
  <c r="C110" i="55"/>
  <c r="J110" i="3"/>
  <c r="C164" i="55"/>
  <c r="J164" i="3"/>
  <c r="C272" i="55"/>
  <c r="J272" i="3"/>
  <c r="C208" i="55"/>
  <c r="J208" i="3"/>
  <c r="C287" i="55"/>
  <c r="J287" i="3"/>
  <c r="C103" i="55"/>
  <c r="J103" i="3"/>
  <c r="C16" i="55"/>
  <c r="J16" i="3"/>
  <c r="C185" i="55"/>
  <c r="J185" i="3"/>
  <c r="C275" i="55"/>
  <c r="J275" i="3"/>
  <c r="C128" i="55"/>
  <c r="J128" i="3"/>
  <c r="C237" i="55"/>
  <c r="J237" i="3"/>
  <c r="C234" i="55"/>
  <c r="J234" i="3"/>
  <c r="C201" i="55"/>
  <c r="J201" i="3"/>
  <c r="C174" i="55"/>
  <c r="J174" i="3"/>
  <c r="C127" i="55"/>
  <c r="J127" i="3"/>
  <c r="C153" i="55"/>
  <c r="J153" i="3"/>
  <c r="C89" i="55"/>
  <c r="J89" i="3"/>
  <c r="C30" i="55"/>
  <c r="J30" i="3"/>
  <c r="C145" i="55"/>
  <c r="J145" i="3"/>
  <c r="C183" i="55"/>
  <c r="J183" i="3"/>
  <c r="C175" i="55"/>
  <c r="J175" i="3"/>
  <c r="C229" i="55"/>
  <c r="J229" i="3"/>
  <c r="C102" i="55"/>
  <c r="J102" i="3"/>
  <c r="C95" i="55"/>
  <c r="J95" i="3"/>
  <c r="C40" i="55"/>
  <c r="J40" i="3"/>
  <c r="C70" i="55"/>
  <c r="J70" i="3"/>
  <c r="C63" i="55"/>
  <c r="J63" i="3"/>
  <c r="C249" i="55"/>
  <c r="J249" i="3"/>
  <c r="C286" i="55"/>
  <c r="J286" i="3"/>
  <c r="C42" i="55"/>
  <c r="J42" i="3"/>
  <c r="C263" i="55"/>
  <c r="J263" i="3"/>
  <c r="C148" i="55"/>
  <c r="J148" i="3"/>
  <c r="C259" i="55"/>
  <c r="J259" i="3"/>
  <c r="C304" i="55"/>
  <c r="J304" i="3"/>
  <c r="C218" i="55"/>
  <c r="J218" i="3"/>
  <c r="C87" i="55"/>
  <c r="J87" i="3"/>
  <c r="C116" i="55"/>
  <c r="J116" i="3"/>
  <c r="C156" i="55"/>
  <c r="J156" i="3"/>
  <c r="C51" i="55"/>
  <c r="J51" i="3"/>
  <c r="C235" i="55"/>
  <c r="J235" i="3"/>
  <c r="C297" i="55"/>
  <c r="J297" i="3"/>
  <c r="C199" i="55"/>
  <c r="J199" i="3"/>
  <c r="C225" i="55"/>
  <c r="J225" i="3"/>
  <c r="C161" i="55"/>
  <c r="J161" i="3"/>
  <c r="C239" i="55"/>
  <c r="J239" i="3"/>
  <c r="C78" i="55"/>
  <c r="J78" i="3"/>
  <c r="C141" i="55"/>
  <c r="J141" i="3"/>
  <c r="C137" i="55"/>
  <c r="J137" i="3"/>
  <c r="C91" i="55"/>
  <c r="J91" i="3"/>
  <c r="C213" i="55"/>
  <c r="J213" i="3"/>
  <c r="C243" i="55"/>
  <c r="J243" i="3"/>
  <c r="C139" i="55"/>
  <c r="J139" i="3"/>
  <c r="C20" i="55"/>
  <c r="J20" i="3"/>
  <c r="C191" i="55"/>
  <c r="J191" i="3"/>
  <c r="C114" i="55"/>
  <c r="J114" i="3"/>
  <c r="C22" i="55"/>
  <c r="J22" i="3"/>
  <c r="C50" i="55"/>
  <c r="J50" i="3"/>
  <c r="C15" i="55"/>
  <c r="J15" i="3"/>
  <c r="C104" i="55"/>
  <c r="J104" i="3"/>
  <c r="C176" i="55"/>
  <c r="J176" i="3"/>
  <c r="C187" i="55"/>
  <c r="J187" i="3"/>
  <c r="C118" i="55"/>
  <c r="J118" i="3"/>
  <c r="C262" i="55"/>
  <c r="J262" i="3"/>
  <c r="G8" i="45"/>
  <c r="G10" i="45" s="1"/>
  <c r="G13" i="45" s="1"/>
  <c r="C8" i="55"/>
  <c r="G16" i="45"/>
  <c r="B19" i="45"/>
  <c r="E6" i="57" l="1"/>
  <c r="J308" i="3"/>
  <c r="J6" i="3" s="1"/>
  <c r="K6" i="3" s="1"/>
  <c r="C308" i="55"/>
  <c r="B10" i="45"/>
  <c r="G19" i="45"/>
  <c r="B20" i="45" s="1"/>
  <c r="K145" i="3" l="1"/>
  <c r="K141" i="3"/>
  <c r="K263" i="3"/>
  <c r="K189" i="3"/>
  <c r="K90" i="3"/>
  <c r="K223" i="3"/>
  <c r="K199" i="3"/>
  <c r="K128" i="3"/>
  <c r="K151" i="3"/>
  <c r="K282" i="3"/>
  <c r="K290" i="3"/>
  <c r="K18" i="3"/>
  <c r="K215" i="3"/>
  <c r="K73" i="3"/>
  <c r="K26" i="3"/>
  <c r="K60" i="3"/>
  <c r="K155" i="3"/>
  <c r="K221" i="3"/>
  <c r="K20" i="3"/>
  <c r="K175" i="3"/>
  <c r="K197" i="3"/>
  <c r="K45" i="3"/>
  <c r="K39" i="3"/>
  <c r="K68" i="3"/>
  <c r="K107" i="3"/>
  <c r="K147" i="3"/>
  <c r="K53" i="3"/>
  <c r="K278" i="3"/>
  <c r="K176" i="3"/>
  <c r="K249" i="3"/>
  <c r="K111" i="3"/>
  <c r="K296" i="3"/>
  <c r="K86" i="3"/>
  <c r="K283" i="3"/>
  <c r="K130" i="3"/>
  <c r="K14" i="3"/>
  <c r="K105" i="3"/>
  <c r="K257" i="3"/>
  <c r="K132" i="3"/>
  <c r="K79" i="3"/>
  <c r="K98" i="3"/>
  <c r="K289" i="3"/>
  <c r="K58" i="3"/>
  <c r="K228" i="3"/>
  <c r="K16" i="3"/>
  <c r="K127" i="3"/>
  <c r="K102" i="3"/>
  <c r="K267" i="3"/>
  <c r="K43" i="3"/>
  <c r="K146" i="3"/>
  <c r="K156" i="3"/>
  <c r="K103" i="3"/>
  <c r="K240" i="3"/>
  <c r="K188" i="3"/>
  <c r="K284" i="3"/>
  <c r="K230" i="3"/>
  <c r="K301" i="3"/>
  <c r="K28" i="3"/>
  <c r="K186" i="3"/>
  <c r="K123" i="3"/>
  <c r="K220" i="3"/>
  <c r="K160" i="3"/>
  <c r="K91" i="3"/>
  <c r="K89" i="3"/>
  <c r="K303" i="3"/>
  <c r="K265" i="3"/>
  <c r="K52" i="3"/>
  <c r="K101" i="3"/>
  <c r="K29" i="3"/>
  <c r="K152" i="3"/>
  <c r="K232" i="3"/>
  <c r="K172" i="3"/>
  <c r="K22" i="3"/>
  <c r="K95" i="3"/>
  <c r="K115" i="3"/>
  <c r="K302" i="3"/>
  <c r="K157" i="3"/>
  <c r="K171" i="3"/>
  <c r="K66" i="3"/>
  <c r="K144" i="3"/>
  <c r="K23" i="3"/>
  <c r="K170" i="3"/>
  <c r="K262" i="3"/>
  <c r="K63" i="3"/>
  <c r="K272" i="3"/>
  <c r="K159" i="3"/>
  <c r="K47" i="3"/>
  <c r="K248" i="3"/>
  <c r="K304" i="3"/>
  <c r="K164" i="3"/>
  <c r="K214" i="3"/>
  <c r="K143" i="3"/>
  <c r="K135" i="3"/>
  <c r="K35" i="3"/>
  <c r="K242" i="3"/>
  <c r="K138" i="3"/>
  <c r="K204" i="3"/>
  <c r="K71" i="3"/>
  <c r="K274" i="3"/>
  <c r="K180" i="3"/>
  <c r="K239" i="3"/>
  <c r="K201" i="3"/>
  <c r="K142" i="3"/>
  <c r="K92" i="3"/>
  <c r="K219" i="3"/>
  <c r="K224" i="3"/>
  <c r="K233" i="3"/>
  <c r="K258" i="3"/>
  <c r="K193" i="3"/>
  <c r="K226" i="3"/>
  <c r="K139" i="3"/>
  <c r="K183" i="3"/>
  <c r="K69" i="3"/>
  <c r="K121" i="3"/>
  <c r="K298" i="3"/>
  <c r="K44" i="3"/>
  <c r="K32" i="3"/>
  <c r="K292" i="3"/>
  <c r="K80" i="3"/>
  <c r="K65" i="3"/>
  <c r="K126" i="3"/>
  <c r="K271" i="3"/>
  <c r="K75" i="3"/>
  <c r="K211" i="3"/>
  <c r="K100" i="3"/>
  <c r="K273" i="3"/>
  <c r="K252" i="3"/>
  <c r="K118" i="3"/>
  <c r="K42" i="3"/>
  <c r="K150" i="3"/>
  <c r="K108" i="3"/>
  <c r="K169" i="3"/>
  <c r="K227" i="3"/>
  <c r="K268" i="3"/>
  <c r="K33" i="3"/>
  <c r="K57" i="3"/>
  <c r="K182" i="3"/>
  <c r="K270" i="3"/>
  <c r="K158" i="3"/>
  <c r="K25" i="3"/>
  <c r="K297" i="3"/>
  <c r="K275" i="3"/>
  <c r="K195" i="3"/>
  <c r="K133" i="3"/>
  <c r="K184" i="3"/>
  <c r="K76" i="3"/>
  <c r="K64" i="3"/>
  <c r="K24" i="3"/>
  <c r="K85" i="3"/>
  <c r="K165" i="3"/>
  <c r="K137" i="3"/>
  <c r="K153" i="3"/>
  <c r="K83" i="3"/>
  <c r="K82" i="3"/>
  <c r="K125" i="3"/>
  <c r="K12" i="3"/>
  <c r="K192" i="3"/>
  <c r="K163" i="3"/>
  <c r="K38" i="3"/>
  <c r="K8" i="3"/>
  <c r="K84" i="3"/>
  <c r="K154" i="3"/>
  <c r="K198" i="3"/>
  <c r="K277" i="3"/>
  <c r="K113" i="3"/>
  <c r="K21" i="3"/>
  <c r="K114" i="3"/>
  <c r="K104" i="3"/>
  <c r="K10" i="3"/>
  <c r="K96" i="3"/>
  <c r="K49" i="3"/>
  <c r="K15" i="3"/>
  <c r="K70" i="3"/>
  <c r="K93" i="3"/>
  <c r="K67" i="3"/>
  <c r="K34" i="3"/>
  <c r="K55" i="3"/>
  <c r="K196" i="3"/>
  <c r="K203" i="3"/>
  <c r="K46" i="3"/>
  <c r="K119" i="3"/>
  <c r="K11" i="3"/>
  <c r="K31" i="3"/>
  <c r="K276" i="3"/>
  <c r="K116" i="3"/>
  <c r="K287" i="3"/>
  <c r="K266" i="3"/>
  <c r="K245" i="3"/>
  <c r="K238" i="3"/>
  <c r="K109" i="3"/>
  <c r="K251" i="3"/>
  <c r="K294" i="3"/>
  <c r="K250" i="3"/>
  <c r="K99" i="3"/>
  <c r="K161" i="3"/>
  <c r="K234" i="3"/>
  <c r="K27" i="3"/>
  <c r="K299" i="3"/>
  <c r="K41" i="3"/>
  <c r="K307" i="3"/>
  <c r="K205" i="3"/>
  <c r="K167" i="3"/>
  <c r="K293" i="3"/>
  <c r="K218" i="3"/>
  <c r="K78" i="3"/>
  <c r="K77" i="3"/>
  <c r="K54" i="3"/>
  <c r="K97" i="3"/>
  <c r="K17" i="3"/>
  <c r="K50" i="3"/>
  <c r="K210" i="3"/>
  <c r="K72" i="3"/>
  <c r="K194" i="3"/>
  <c r="K236" i="3"/>
  <c r="K237" i="3"/>
  <c r="K243" i="3"/>
  <c r="K136" i="3"/>
  <c r="K247" i="3"/>
  <c r="K117" i="3"/>
  <c r="K191" i="3"/>
  <c r="K229" i="3"/>
  <c r="K177" i="3"/>
  <c r="K179" i="3"/>
  <c r="K74" i="3"/>
  <c r="K61" i="3"/>
  <c r="K269" i="3"/>
  <c r="K241" i="3"/>
  <c r="K129" i="3"/>
  <c r="K48" i="3"/>
  <c r="K124" i="3"/>
  <c r="K131" i="3"/>
  <c r="K168" i="3"/>
  <c r="K259" i="3"/>
  <c r="K110" i="3"/>
  <c r="K181" i="3"/>
  <c r="K207" i="3"/>
  <c r="K59" i="3"/>
  <c r="K36" i="3"/>
  <c r="K255" i="3"/>
  <c r="K173" i="3"/>
  <c r="K178" i="3"/>
  <c r="K122" i="3"/>
  <c r="K235" i="3"/>
  <c r="K185" i="3"/>
  <c r="K253" i="3"/>
  <c r="K244" i="3"/>
  <c r="K162" i="3"/>
  <c r="K291" i="3"/>
  <c r="K190" i="3"/>
  <c r="K88" i="3"/>
  <c r="K281" i="3"/>
  <c r="K9" i="3"/>
  <c r="K174" i="3"/>
  <c r="K200" i="3"/>
  <c r="K261" i="3"/>
  <c r="K81" i="3"/>
  <c r="K37" i="3"/>
  <c r="K40" i="3"/>
  <c r="K231" i="3"/>
  <c r="K217" i="3"/>
  <c r="K148" i="3"/>
  <c r="K280" i="3"/>
  <c r="K225" i="3"/>
  <c r="K51" i="3"/>
  <c r="K94" i="3"/>
  <c r="K19" i="3"/>
  <c r="K209" i="3"/>
  <c r="K213" i="3"/>
  <c r="K30" i="3"/>
  <c r="K279" i="3"/>
  <c r="K212" i="3"/>
  <c r="K62" i="3"/>
  <c r="K216" i="3"/>
  <c r="K222" i="3"/>
  <c r="K295" i="3"/>
  <c r="K56" i="3"/>
  <c r="K246" i="3"/>
  <c r="K166" i="3"/>
  <c r="K306" i="3"/>
  <c r="K187" i="3"/>
  <c r="K286" i="3"/>
  <c r="K149" i="3"/>
  <c r="K120" i="3"/>
  <c r="K134" i="3"/>
  <c r="K254" i="3"/>
  <c r="K206" i="3"/>
  <c r="K260" i="3"/>
  <c r="K256" i="3"/>
  <c r="K202" i="3"/>
  <c r="K300" i="3"/>
  <c r="K87" i="3"/>
  <c r="K208" i="3"/>
  <c r="K305" i="3"/>
  <c r="K140" i="3"/>
  <c r="K106" i="3"/>
  <c r="K285" i="3"/>
  <c r="K13" i="3"/>
  <c r="K112" i="3"/>
  <c r="K264" i="3"/>
  <c r="K288" i="3"/>
  <c r="L305" i="3" l="1"/>
  <c r="D305" i="55" s="1"/>
  <c r="L253" i="3"/>
  <c r="D253" i="55" s="1"/>
  <c r="L208" i="3"/>
  <c r="D208" i="55" s="1"/>
  <c r="L191" i="3"/>
  <c r="D191" i="55" s="1"/>
  <c r="L72" i="3"/>
  <c r="D72" i="55" s="1"/>
  <c r="L12" i="3"/>
  <c r="D12" i="55" s="1"/>
  <c r="L24" i="3"/>
  <c r="D24" i="55" s="1"/>
  <c r="L169" i="3"/>
  <c r="D169" i="55" s="1"/>
  <c r="L44" i="3"/>
  <c r="D44" i="55" s="1"/>
  <c r="L143" i="3"/>
  <c r="D143" i="55" s="1"/>
  <c r="L302" i="3"/>
  <c r="D302" i="55" s="1"/>
  <c r="L103" i="3"/>
  <c r="D103" i="55" s="1"/>
  <c r="L228" i="3"/>
  <c r="D228" i="55" s="1"/>
  <c r="L125" i="3"/>
  <c r="D125" i="55" s="1"/>
  <c r="L108" i="3"/>
  <c r="D108" i="55" s="1"/>
  <c r="L298" i="3"/>
  <c r="D298" i="55" s="1"/>
  <c r="L115" i="3"/>
  <c r="D115" i="55" s="1"/>
  <c r="L58" i="3"/>
  <c r="D58" i="55" s="1"/>
  <c r="L290" i="3"/>
  <c r="D290" i="55" s="1"/>
  <c r="L217" i="3"/>
  <c r="D217" i="55" s="1"/>
  <c r="L185" i="3"/>
  <c r="D185" i="55" s="1"/>
  <c r="L264" i="3"/>
  <c r="D264" i="55" s="1"/>
  <c r="L87" i="3"/>
  <c r="D87" i="55" s="1"/>
  <c r="L241" i="3"/>
  <c r="D241" i="55" s="1"/>
  <c r="L112" i="3"/>
  <c r="D112" i="55" s="1"/>
  <c r="L88" i="3"/>
  <c r="D88" i="55" s="1"/>
  <c r="L269" i="3"/>
  <c r="D269" i="55" s="1"/>
  <c r="L82" i="3"/>
  <c r="D82" i="55" s="1"/>
  <c r="L121" i="3"/>
  <c r="D121" i="55" s="1"/>
  <c r="L164" i="3"/>
  <c r="D164" i="55" s="1"/>
  <c r="L170" i="3"/>
  <c r="D170" i="55" s="1"/>
  <c r="L95" i="3"/>
  <c r="D95" i="55" s="1"/>
  <c r="L28" i="3"/>
  <c r="D28" i="55" s="1"/>
  <c r="L288" i="3"/>
  <c r="D288" i="55" s="1"/>
  <c r="L281" i="3"/>
  <c r="D281" i="55" s="1"/>
  <c r="L222" i="3"/>
  <c r="D222" i="55" s="1"/>
  <c r="L94" i="3"/>
  <c r="D94" i="55" s="1"/>
  <c r="L190" i="3"/>
  <c r="D190" i="55" s="1"/>
  <c r="L55" i="3"/>
  <c r="D55" i="55" s="1"/>
  <c r="L83" i="3"/>
  <c r="D83" i="55" s="1"/>
  <c r="L182" i="3"/>
  <c r="D182" i="55" s="1"/>
  <c r="L69" i="3"/>
  <c r="D69" i="55" s="1"/>
  <c r="L204" i="3"/>
  <c r="D204" i="55" s="1"/>
  <c r="L304" i="3"/>
  <c r="D304" i="55" s="1"/>
  <c r="L23" i="3"/>
  <c r="D23" i="55" s="1"/>
  <c r="L301" i="3"/>
  <c r="D301" i="55" s="1"/>
  <c r="L38" i="3"/>
  <c r="D38" i="55" s="1"/>
  <c r="L140" i="3"/>
  <c r="D140" i="55" s="1"/>
  <c r="L279" i="3"/>
  <c r="D279" i="55" s="1"/>
  <c r="L280" i="3"/>
  <c r="D280" i="55" s="1"/>
  <c r="L244" i="3"/>
  <c r="D244" i="55" s="1"/>
  <c r="L177" i="3"/>
  <c r="D177" i="55" s="1"/>
  <c r="L236" i="3"/>
  <c r="D236" i="55" s="1"/>
  <c r="L21" i="3"/>
  <c r="D21" i="55" s="1"/>
  <c r="L163" i="3"/>
  <c r="D163" i="55" s="1"/>
  <c r="L292" i="3"/>
  <c r="D292" i="55" s="1"/>
  <c r="L171" i="3"/>
  <c r="D171" i="55" s="1"/>
  <c r="L148" i="3"/>
  <c r="D148" i="55" s="1"/>
  <c r="L194" i="3"/>
  <c r="D194" i="55" s="1"/>
  <c r="L119" i="3"/>
  <c r="D119" i="55" s="1"/>
  <c r="L70" i="3"/>
  <c r="D70" i="55" s="1"/>
  <c r="L113" i="3"/>
  <c r="D113" i="55" s="1"/>
  <c r="L192" i="3"/>
  <c r="D192" i="55" s="1"/>
  <c r="L85" i="3"/>
  <c r="D85" i="55" s="1"/>
  <c r="L227" i="3"/>
  <c r="D227" i="55" s="1"/>
  <c r="L32" i="3"/>
  <c r="D32" i="55" s="1"/>
  <c r="L157" i="3"/>
  <c r="D157" i="55" s="1"/>
  <c r="L240" i="3"/>
  <c r="D240" i="55" s="1"/>
  <c r="L62" i="3"/>
  <c r="D62" i="55" s="1"/>
  <c r="L97" i="3"/>
  <c r="D97" i="55" s="1"/>
  <c r="L34" i="3"/>
  <c r="D34" i="55" s="1"/>
  <c r="L57" i="3"/>
  <c r="D57" i="55" s="1"/>
  <c r="L92" i="3"/>
  <c r="D92" i="55" s="1"/>
  <c r="L172" i="3"/>
  <c r="D172" i="55" s="1"/>
  <c r="L89" i="3"/>
  <c r="D89" i="55" s="1"/>
  <c r="L267" i="3"/>
  <c r="D267" i="55" s="1"/>
  <c r="L128" i="3"/>
  <c r="D128" i="55" s="1"/>
  <c r="L106" i="3"/>
  <c r="D106" i="55" s="1"/>
  <c r="L260" i="3"/>
  <c r="D260" i="55" s="1"/>
  <c r="L306" i="3"/>
  <c r="D306" i="55" s="1"/>
  <c r="L212" i="3"/>
  <c r="D212" i="55" s="1"/>
  <c r="L225" i="3"/>
  <c r="D225" i="55" s="1"/>
  <c r="L261" i="3"/>
  <c r="D261" i="55" s="1"/>
  <c r="L162" i="3"/>
  <c r="D162" i="55" s="1"/>
  <c r="L255" i="3"/>
  <c r="D255" i="55" s="1"/>
  <c r="L131" i="3"/>
  <c r="D131" i="55" s="1"/>
  <c r="L179" i="3"/>
  <c r="D179" i="55" s="1"/>
  <c r="L237" i="3"/>
  <c r="D237" i="55" s="1"/>
  <c r="L54" i="3"/>
  <c r="D54" i="55" s="1"/>
  <c r="L41" i="3"/>
  <c r="D41" i="55" s="1"/>
  <c r="L251" i="3"/>
  <c r="D251" i="55" s="1"/>
  <c r="L31" i="3"/>
  <c r="D31" i="55" s="1"/>
  <c r="L67" i="3"/>
  <c r="D67" i="55" s="1"/>
  <c r="L114" i="3"/>
  <c r="D114" i="55" s="1"/>
  <c r="L137" i="3"/>
  <c r="D137" i="55" s="1"/>
  <c r="L195" i="3"/>
  <c r="D195" i="55" s="1"/>
  <c r="L33" i="3"/>
  <c r="D33" i="55" s="1"/>
  <c r="L252" i="3"/>
  <c r="D252" i="55" s="1"/>
  <c r="L80" i="3"/>
  <c r="D80" i="55" s="1"/>
  <c r="L139" i="3"/>
  <c r="D139" i="55" s="1"/>
  <c r="L142" i="3"/>
  <c r="D142" i="55" s="1"/>
  <c r="L242" i="3"/>
  <c r="D242" i="55" s="1"/>
  <c r="L47" i="3"/>
  <c r="D47" i="55" s="1"/>
  <c r="L66" i="3"/>
  <c r="D66" i="55" s="1"/>
  <c r="L232" i="3"/>
  <c r="D232" i="55" s="1"/>
  <c r="L91" i="3"/>
  <c r="D91" i="55" s="1"/>
  <c r="L284" i="3"/>
  <c r="D284" i="55" s="1"/>
  <c r="L102" i="3"/>
  <c r="D102" i="55" s="1"/>
  <c r="L132" i="3"/>
  <c r="D132" i="55" s="1"/>
  <c r="L111" i="3"/>
  <c r="D111" i="55" s="1"/>
  <c r="L39" i="3"/>
  <c r="D39" i="55" s="1"/>
  <c r="L26" i="3"/>
  <c r="D26" i="55" s="1"/>
  <c r="L199" i="3"/>
  <c r="D199" i="55" s="1"/>
  <c r="L256" i="3"/>
  <c r="D256" i="55" s="1"/>
  <c r="L168" i="3"/>
  <c r="D168" i="55" s="1"/>
  <c r="L294" i="3"/>
  <c r="D294" i="55" s="1"/>
  <c r="L133" i="3"/>
  <c r="D133" i="55" s="1"/>
  <c r="L79" i="3"/>
  <c r="D79" i="55" s="1"/>
  <c r="L206" i="3"/>
  <c r="D206" i="55" s="1"/>
  <c r="L166" i="3"/>
  <c r="D166" i="55" s="1"/>
  <c r="L200" i="3"/>
  <c r="D200" i="55" s="1"/>
  <c r="L36" i="3"/>
  <c r="D36" i="55" s="1"/>
  <c r="L124" i="3"/>
  <c r="D124" i="55" s="1"/>
  <c r="L77" i="3"/>
  <c r="D77" i="55" s="1"/>
  <c r="L299" i="3"/>
  <c r="D299" i="55" s="1"/>
  <c r="L109" i="3"/>
  <c r="D109" i="55" s="1"/>
  <c r="L11" i="3"/>
  <c r="D11" i="55" s="1"/>
  <c r="L93" i="3"/>
  <c r="D93" i="55" s="1"/>
  <c r="L165" i="3"/>
  <c r="D165" i="55" s="1"/>
  <c r="L275" i="3"/>
  <c r="D275" i="55" s="1"/>
  <c r="L268" i="3"/>
  <c r="D268" i="55" s="1"/>
  <c r="L273" i="3"/>
  <c r="D273" i="55" s="1"/>
  <c r="L226" i="3"/>
  <c r="D226" i="55" s="1"/>
  <c r="L201" i="3"/>
  <c r="D201" i="55" s="1"/>
  <c r="L35" i="3"/>
  <c r="D35" i="55" s="1"/>
  <c r="L159" i="3"/>
  <c r="D159" i="55" s="1"/>
  <c r="L152" i="3"/>
  <c r="D152" i="55" s="1"/>
  <c r="L160" i="3"/>
  <c r="D160" i="55" s="1"/>
  <c r="L188" i="3"/>
  <c r="D188" i="55" s="1"/>
  <c r="L127" i="3"/>
  <c r="D127" i="55" s="1"/>
  <c r="L257" i="3"/>
  <c r="D257" i="55" s="1"/>
  <c r="L249" i="3"/>
  <c r="D249" i="55" s="1"/>
  <c r="L45" i="3"/>
  <c r="D45" i="55" s="1"/>
  <c r="L73" i="3"/>
  <c r="D73" i="55" s="1"/>
  <c r="L223" i="3"/>
  <c r="D223" i="55" s="1"/>
  <c r="L51" i="3"/>
  <c r="D51" i="55" s="1"/>
  <c r="L74" i="3"/>
  <c r="D74" i="55" s="1"/>
  <c r="L104" i="3"/>
  <c r="D104" i="55" s="1"/>
  <c r="L183" i="3"/>
  <c r="D183" i="55" s="1"/>
  <c r="L296" i="3"/>
  <c r="D296" i="55" s="1"/>
  <c r="L254" i="3"/>
  <c r="D254" i="55" s="1"/>
  <c r="L246" i="3"/>
  <c r="D246" i="55" s="1"/>
  <c r="L30" i="3"/>
  <c r="D30" i="55" s="1"/>
  <c r="L174" i="3"/>
  <c r="D174" i="55" s="1"/>
  <c r="L59" i="3"/>
  <c r="D59" i="55" s="1"/>
  <c r="L48" i="3"/>
  <c r="D48" i="55" s="1"/>
  <c r="L229" i="3"/>
  <c r="D229" i="55" s="1"/>
  <c r="L78" i="3"/>
  <c r="D78" i="55" s="1"/>
  <c r="L27" i="3"/>
  <c r="D27" i="55" s="1"/>
  <c r="L238" i="3"/>
  <c r="D238" i="55" s="1"/>
  <c r="L297" i="3"/>
  <c r="D297" i="55" s="1"/>
  <c r="L100" i="3"/>
  <c r="D100" i="55" s="1"/>
  <c r="L193" i="3"/>
  <c r="D193" i="55" s="1"/>
  <c r="L239" i="3"/>
  <c r="D239" i="55" s="1"/>
  <c r="L135" i="3"/>
  <c r="D135" i="55" s="1"/>
  <c r="L272" i="3"/>
  <c r="D272" i="55" s="1"/>
  <c r="L29" i="3"/>
  <c r="D29" i="55" s="1"/>
  <c r="L220" i="3"/>
  <c r="D220" i="55" s="1"/>
  <c r="L16" i="3"/>
  <c r="D16" i="55" s="1"/>
  <c r="L105" i="3"/>
  <c r="D105" i="55" s="1"/>
  <c r="L176" i="3"/>
  <c r="D176" i="55" s="1"/>
  <c r="L197" i="3"/>
  <c r="D197" i="55" s="1"/>
  <c r="L215" i="3"/>
  <c r="D215" i="55" s="1"/>
  <c r="L90" i="3"/>
  <c r="D90" i="55" s="1"/>
  <c r="L81" i="3"/>
  <c r="D81" i="55" s="1"/>
  <c r="L243" i="3"/>
  <c r="D243" i="55" s="1"/>
  <c r="L276" i="3"/>
  <c r="D276" i="55" s="1"/>
  <c r="L153" i="3"/>
  <c r="D153" i="55" s="1"/>
  <c r="L65" i="3"/>
  <c r="D65" i="55" s="1"/>
  <c r="L248" i="3"/>
  <c r="D248" i="55" s="1"/>
  <c r="L68" i="3"/>
  <c r="D68" i="55" s="1"/>
  <c r="L134" i="3"/>
  <c r="D134" i="55" s="1"/>
  <c r="L56" i="3"/>
  <c r="D56" i="55" s="1"/>
  <c r="L213" i="3"/>
  <c r="D213" i="55" s="1"/>
  <c r="L9" i="3"/>
  <c r="D9" i="55" s="1"/>
  <c r="L207" i="3"/>
  <c r="D207" i="55" s="1"/>
  <c r="L129" i="3"/>
  <c r="D129" i="55" s="1"/>
  <c r="L218" i="3"/>
  <c r="D218" i="55" s="1"/>
  <c r="L234" i="3"/>
  <c r="D234" i="55" s="1"/>
  <c r="L245" i="3"/>
  <c r="D245" i="55" s="1"/>
  <c r="L46" i="3"/>
  <c r="D46" i="55" s="1"/>
  <c r="L15" i="3"/>
  <c r="L277" i="3"/>
  <c r="D277" i="55" s="1"/>
  <c r="L25" i="3"/>
  <c r="D25" i="55" s="1"/>
  <c r="L211" i="3"/>
  <c r="D211" i="55" s="1"/>
  <c r="L258" i="3"/>
  <c r="D258" i="55" s="1"/>
  <c r="L180" i="3"/>
  <c r="D180" i="55" s="1"/>
  <c r="L63" i="3"/>
  <c r="D63" i="55" s="1"/>
  <c r="L101" i="3"/>
  <c r="D101" i="55" s="1"/>
  <c r="L123" i="3"/>
  <c r="D123" i="55" s="1"/>
  <c r="L14" i="3"/>
  <c r="D14" i="55" s="1"/>
  <c r="L278" i="3"/>
  <c r="D278" i="55" s="1"/>
  <c r="L175" i="3"/>
  <c r="D175" i="55" s="1"/>
  <c r="L18" i="3"/>
  <c r="D18" i="55" s="1"/>
  <c r="L189" i="3"/>
  <c r="D189" i="55" s="1"/>
  <c r="L291" i="3"/>
  <c r="D291" i="55" s="1"/>
  <c r="L230" i="3"/>
  <c r="D230" i="55" s="1"/>
  <c r="L120" i="3"/>
  <c r="D120" i="55" s="1"/>
  <c r="L295" i="3"/>
  <c r="D295" i="55" s="1"/>
  <c r="L209" i="3"/>
  <c r="D209" i="55" s="1"/>
  <c r="L231" i="3"/>
  <c r="D231" i="55" s="1"/>
  <c r="L235" i="3"/>
  <c r="D235" i="55" s="1"/>
  <c r="L181" i="3"/>
  <c r="D181" i="55" s="1"/>
  <c r="L117" i="3"/>
  <c r="D117" i="55" s="1"/>
  <c r="L210" i="3"/>
  <c r="D210" i="55" s="1"/>
  <c r="L293" i="3"/>
  <c r="D293" i="55" s="1"/>
  <c r="L161" i="3"/>
  <c r="D161" i="55" s="1"/>
  <c r="L266" i="3"/>
  <c r="D266" i="55" s="1"/>
  <c r="L203" i="3"/>
  <c r="D203" i="55" s="1"/>
  <c r="L49" i="3"/>
  <c r="D49" i="55" s="1"/>
  <c r="L198" i="3"/>
  <c r="D198" i="55" s="1"/>
  <c r="L64" i="3"/>
  <c r="D64" i="55" s="1"/>
  <c r="L158" i="3"/>
  <c r="D158" i="55" s="1"/>
  <c r="L75" i="3"/>
  <c r="D75" i="55" s="1"/>
  <c r="L233" i="3"/>
  <c r="D233" i="55" s="1"/>
  <c r="L274" i="3"/>
  <c r="D274" i="55" s="1"/>
  <c r="L214" i="3"/>
  <c r="D214" i="55" s="1"/>
  <c r="L262" i="3"/>
  <c r="D262" i="55" s="1"/>
  <c r="L52" i="3"/>
  <c r="D52" i="55" s="1"/>
  <c r="L186" i="3"/>
  <c r="D186" i="55" s="1"/>
  <c r="L156" i="3"/>
  <c r="D156" i="55" s="1"/>
  <c r="L130" i="3"/>
  <c r="D130" i="55" s="1"/>
  <c r="L53" i="3"/>
  <c r="D53" i="55" s="1"/>
  <c r="L20" i="3"/>
  <c r="D20" i="55" s="1"/>
  <c r="L263" i="3"/>
  <c r="D263" i="55" s="1"/>
  <c r="L187" i="3"/>
  <c r="D187" i="55" s="1"/>
  <c r="L173" i="3"/>
  <c r="D173" i="55" s="1"/>
  <c r="L307" i="3"/>
  <c r="D307" i="55" s="1"/>
  <c r="L8" i="3"/>
  <c r="L118" i="3"/>
  <c r="D118" i="55" s="1"/>
  <c r="L138" i="3"/>
  <c r="D138" i="55" s="1"/>
  <c r="L60" i="3"/>
  <c r="D60" i="55" s="1"/>
  <c r="L300" i="3"/>
  <c r="D300" i="55" s="1"/>
  <c r="L149" i="3"/>
  <c r="D149" i="55" s="1"/>
  <c r="L19" i="3"/>
  <c r="D19" i="55" s="1"/>
  <c r="L40" i="3"/>
  <c r="D40" i="55" s="1"/>
  <c r="L122" i="3"/>
  <c r="D122" i="55" s="1"/>
  <c r="L110" i="3"/>
  <c r="D110" i="55" s="1"/>
  <c r="L247" i="3"/>
  <c r="D247" i="55" s="1"/>
  <c r="L50" i="3"/>
  <c r="D50" i="55" s="1"/>
  <c r="L167" i="3"/>
  <c r="D167" i="55" s="1"/>
  <c r="L99" i="3"/>
  <c r="D99" i="55" s="1"/>
  <c r="L287" i="3"/>
  <c r="D287" i="55" s="1"/>
  <c r="L196" i="3"/>
  <c r="D196" i="55" s="1"/>
  <c r="L96" i="3"/>
  <c r="D96" i="55" s="1"/>
  <c r="L154" i="3"/>
  <c r="D154" i="55" s="1"/>
  <c r="L76" i="3"/>
  <c r="D76" i="55" s="1"/>
  <c r="L270" i="3"/>
  <c r="D270" i="55" s="1"/>
  <c r="L150" i="3"/>
  <c r="D150" i="55" s="1"/>
  <c r="L271" i="3"/>
  <c r="D271" i="55" s="1"/>
  <c r="L224" i="3"/>
  <c r="D224" i="55" s="1"/>
  <c r="L71" i="3"/>
  <c r="D71" i="55" s="1"/>
  <c r="L265" i="3"/>
  <c r="D265" i="55" s="1"/>
  <c r="L146" i="3"/>
  <c r="D146" i="55" s="1"/>
  <c r="L289" i="3"/>
  <c r="D289" i="55" s="1"/>
  <c r="L283" i="3"/>
  <c r="D283" i="55" s="1"/>
  <c r="L147" i="3"/>
  <c r="D147" i="55" s="1"/>
  <c r="L221" i="3"/>
  <c r="D221" i="55" s="1"/>
  <c r="L282" i="3"/>
  <c r="D282" i="55" s="1"/>
  <c r="L141" i="3"/>
  <c r="D141" i="55" s="1"/>
  <c r="L285" i="3"/>
  <c r="D285" i="55" s="1"/>
  <c r="L144" i="3"/>
  <c r="D144" i="55" s="1"/>
  <c r="L13" i="3"/>
  <c r="D13" i="55" s="1"/>
  <c r="L202" i="3"/>
  <c r="D202" i="55" s="1"/>
  <c r="L286" i="3"/>
  <c r="D286" i="55" s="1"/>
  <c r="L216" i="3"/>
  <c r="D216" i="55" s="1"/>
  <c r="L37" i="3"/>
  <c r="D37" i="55" s="1"/>
  <c r="L178" i="3"/>
  <c r="D178" i="55" s="1"/>
  <c r="L259" i="3"/>
  <c r="D259" i="55" s="1"/>
  <c r="L61" i="3"/>
  <c r="D61" i="55" s="1"/>
  <c r="L136" i="3"/>
  <c r="D136" i="55" s="1"/>
  <c r="L17" i="3"/>
  <c r="D17" i="55" s="1"/>
  <c r="L205" i="3"/>
  <c r="D205" i="55" s="1"/>
  <c r="L250" i="3"/>
  <c r="D250" i="55" s="1"/>
  <c r="L116" i="3"/>
  <c r="D116" i="55" s="1"/>
  <c r="L10" i="3"/>
  <c r="D10" i="55" s="1"/>
  <c r="L84" i="3"/>
  <c r="D84" i="55" s="1"/>
  <c r="L184" i="3"/>
  <c r="D184" i="55" s="1"/>
  <c r="L42" i="3"/>
  <c r="D42" i="55" s="1"/>
  <c r="L126" i="3"/>
  <c r="D126" i="55" s="1"/>
  <c r="L219" i="3"/>
  <c r="D219" i="55" s="1"/>
  <c r="L22" i="3"/>
  <c r="D22" i="55" s="1"/>
  <c r="L303" i="3"/>
  <c r="D303" i="55" s="1"/>
  <c r="L43" i="3"/>
  <c r="D43" i="55" s="1"/>
  <c r="L98" i="3"/>
  <c r="D98" i="55" s="1"/>
  <c r="L86" i="3"/>
  <c r="D86" i="55" s="1"/>
  <c r="L107" i="3"/>
  <c r="D107" i="55" s="1"/>
  <c r="L155" i="3"/>
  <c r="D155" i="55" s="1"/>
  <c r="L151" i="3"/>
  <c r="D151" i="55" s="1"/>
  <c r="L145" i="3"/>
  <c r="D145" i="55" s="1"/>
  <c r="G20" i="45"/>
  <c r="E7" i="57" l="1"/>
  <c r="L308" i="3"/>
  <c r="D15" i="55"/>
  <c r="D8" i="55"/>
  <c r="D308" i="55" l="1"/>
  <c r="L6" i="3"/>
  <c r="L308" i="21"/>
  <c r="L6" i="21" l="1"/>
  <c r="M278" i="21" s="1"/>
  <c r="M11" i="21" l="1"/>
  <c r="M19" i="21"/>
  <c r="N19" i="21" s="1"/>
  <c r="K19" i="55" s="1"/>
  <c r="M19" i="55" s="1"/>
  <c r="M27" i="21"/>
  <c r="M35" i="21"/>
  <c r="M43" i="21"/>
  <c r="N43" i="21" s="1"/>
  <c r="K43" i="55" s="1"/>
  <c r="M43" i="55" s="1"/>
  <c r="M51" i="21"/>
  <c r="N51" i="21" s="1"/>
  <c r="K51" i="55" s="1"/>
  <c r="M51" i="55" s="1"/>
  <c r="M59" i="21"/>
  <c r="N59" i="21" s="1"/>
  <c r="K59" i="55" s="1"/>
  <c r="M59" i="55" s="1"/>
  <c r="M67" i="21"/>
  <c r="N67" i="21" s="1"/>
  <c r="K67" i="55" s="1"/>
  <c r="M67" i="55" s="1"/>
  <c r="M75" i="21"/>
  <c r="M83" i="21"/>
  <c r="N83" i="21" s="1"/>
  <c r="K83" i="55" s="1"/>
  <c r="M83" i="55" s="1"/>
  <c r="M91" i="21"/>
  <c r="M99" i="21"/>
  <c r="N99" i="21" s="1"/>
  <c r="K99" i="55" s="1"/>
  <c r="M99" i="55" s="1"/>
  <c r="M107" i="21"/>
  <c r="N107" i="21" s="1"/>
  <c r="K107" i="55" s="1"/>
  <c r="M107" i="55" s="1"/>
  <c r="M115" i="21"/>
  <c r="N115" i="21" s="1"/>
  <c r="K115" i="55" s="1"/>
  <c r="M115" i="55" s="1"/>
  <c r="M123" i="21"/>
  <c r="N123" i="21" s="1"/>
  <c r="K123" i="55" s="1"/>
  <c r="M123" i="55" s="1"/>
  <c r="M131" i="21"/>
  <c r="N131" i="21" s="1"/>
  <c r="K131" i="55" s="1"/>
  <c r="M131" i="55" s="1"/>
  <c r="M139" i="21"/>
  <c r="M147" i="21"/>
  <c r="N147" i="21" s="1"/>
  <c r="K147" i="55" s="1"/>
  <c r="M147" i="55" s="1"/>
  <c r="M155" i="21"/>
  <c r="M163" i="21"/>
  <c r="N163" i="21" s="1"/>
  <c r="K163" i="55" s="1"/>
  <c r="M163" i="55" s="1"/>
  <c r="M171" i="21"/>
  <c r="N171" i="21" s="1"/>
  <c r="K171" i="55" s="1"/>
  <c r="M171" i="55" s="1"/>
  <c r="M179" i="21"/>
  <c r="N179" i="21" s="1"/>
  <c r="K179" i="55" s="1"/>
  <c r="M179" i="55" s="1"/>
  <c r="M187" i="21"/>
  <c r="N187" i="21" s="1"/>
  <c r="K187" i="55" s="1"/>
  <c r="M187" i="55" s="1"/>
  <c r="M195" i="21"/>
  <c r="N195" i="21" s="1"/>
  <c r="K195" i="55" s="1"/>
  <c r="M195" i="55" s="1"/>
  <c r="M203" i="21"/>
  <c r="M211" i="21"/>
  <c r="M219" i="21"/>
  <c r="M227" i="21"/>
  <c r="N227" i="21" s="1"/>
  <c r="K227" i="55" s="1"/>
  <c r="M227" i="55" s="1"/>
  <c r="M235" i="21"/>
  <c r="N235" i="21" s="1"/>
  <c r="K235" i="55" s="1"/>
  <c r="M235" i="55" s="1"/>
  <c r="M243" i="21"/>
  <c r="N243" i="21" s="1"/>
  <c r="K243" i="55" s="1"/>
  <c r="M243" i="55" s="1"/>
  <c r="M251" i="21"/>
  <c r="N251" i="21" s="1"/>
  <c r="K251" i="55" s="1"/>
  <c r="M251" i="55" s="1"/>
  <c r="M259" i="21"/>
  <c r="N259" i="21" s="1"/>
  <c r="K259" i="55" s="1"/>
  <c r="M259" i="55" s="1"/>
  <c r="M267" i="21"/>
  <c r="M275" i="21"/>
  <c r="M283" i="21"/>
  <c r="M291" i="21"/>
  <c r="N291" i="21" s="1"/>
  <c r="K291" i="55" s="1"/>
  <c r="M291" i="55" s="1"/>
  <c r="M299" i="21"/>
  <c r="N299" i="21" s="1"/>
  <c r="K299" i="55" s="1"/>
  <c r="M299" i="55" s="1"/>
  <c r="M307" i="21"/>
  <c r="M216" i="21"/>
  <c r="N216" i="21" s="1"/>
  <c r="K216" i="55" s="1"/>
  <c r="M216" i="55" s="1"/>
  <c r="M256" i="21"/>
  <c r="N256" i="21" s="1"/>
  <c r="K256" i="55" s="1"/>
  <c r="M256" i="55" s="1"/>
  <c r="M296" i="21"/>
  <c r="N296" i="21" s="1"/>
  <c r="K296" i="55" s="1"/>
  <c r="M296" i="55" s="1"/>
  <c r="M12" i="21"/>
  <c r="N12" i="21" s="1"/>
  <c r="K12" i="55" s="1"/>
  <c r="M12" i="55" s="1"/>
  <c r="M20" i="21"/>
  <c r="M28" i="21"/>
  <c r="N28" i="21" s="1"/>
  <c r="K28" i="55" s="1"/>
  <c r="M28" i="55" s="1"/>
  <c r="M36" i="21"/>
  <c r="N36" i="21" s="1"/>
  <c r="K36" i="55" s="1"/>
  <c r="M36" i="55" s="1"/>
  <c r="M44" i="21"/>
  <c r="N44" i="21" s="1"/>
  <c r="K44" i="55" s="1"/>
  <c r="M44" i="55" s="1"/>
  <c r="M52" i="21"/>
  <c r="N52" i="21" s="1"/>
  <c r="K52" i="55" s="1"/>
  <c r="M52" i="55" s="1"/>
  <c r="M60" i="21"/>
  <c r="N60" i="21" s="1"/>
  <c r="K60" i="55" s="1"/>
  <c r="M60" i="55" s="1"/>
  <c r="M68" i="21"/>
  <c r="N68" i="21" s="1"/>
  <c r="K68" i="55" s="1"/>
  <c r="M68" i="55" s="1"/>
  <c r="M76" i="21"/>
  <c r="N76" i="21" s="1"/>
  <c r="K76" i="55" s="1"/>
  <c r="M76" i="55" s="1"/>
  <c r="M84" i="21"/>
  <c r="M92" i="21"/>
  <c r="N92" i="21" s="1"/>
  <c r="K92" i="55" s="1"/>
  <c r="M92" i="55" s="1"/>
  <c r="M100" i="21"/>
  <c r="M108" i="21"/>
  <c r="N108" i="21" s="1"/>
  <c r="K108" i="55" s="1"/>
  <c r="M108" i="55" s="1"/>
  <c r="M116" i="21"/>
  <c r="N116" i="21" s="1"/>
  <c r="K116" i="55" s="1"/>
  <c r="M116" i="55" s="1"/>
  <c r="M124" i="21"/>
  <c r="N124" i="21" s="1"/>
  <c r="K124" i="55" s="1"/>
  <c r="M124" i="55" s="1"/>
  <c r="M132" i="21"/>
  <c r="N132" i="21" s="1"/>
  <c r="K132" i="55" s="1"/>
  <c r="M132" i="55" s="1"/>
  <c r="M140" i="21"/>
  <c r="N140" i="21" s="1"/>
  <c r="K140" i="55" s="1"/>
  <c r="M140" i="55" s="1"/>
  <c r="M148" i="21"/>
  <c r="M156" i="21"/>
  <c r="N156" i="21" s="1"/>
  <c r="K156" i="55" s="1"/>
  <c r="M156" i="55" s="1"/>
  <c r="M164" i="21"/>
  <c r="N164" i="21" s="1"/>
  <c r="K164" i="55" s="1"/>
  <c r="M164" i="55" s="1"/>
  <c r="M172" i="21"/>
  <c r="N172" i="21" s="1"/>
  <c r="K172" i="55" s="1"/>
  <c r="M172" i="55" s="1"/>
  <c r="M180" i="21"/>
  <c r="N180" i="21" s="1"/>
  <c r="K180" i="55" s="1"/>
  <c r="M180" i="55" s="1"/>
  <c r="M188" i="21"/>
  <c r="N188" i="21" s="1"/>
  <c r="K188" i="55" s="1"/>
  <c r="M188" i="55" s="1"/>
  <c r="M196" i="21"/>
  <c r="N196" i="21" s="1"/>
  <c r="K196" i="55" s="1"/>
  <c r="M196" i="55" s="1"/>
  <c r="M204" i="21"/>
  <c r="N204" i="21" s="1"/>
  <c r="K204" i="55" s="1"/>
  <c r="M204" i="55" s="1"/>
  <c r="M212" i="21"/>
  <c r="M220" i="21"/>
  <c r="N220" i="21" s="1"/>
  <c r="K220" i="55" s="1"/>
  <c r="M220" i="55" s="1"/>
  <c r="M228" i="21"/>
  <c r="N228" i="21" s="1"/>
  <c r="K228" i="55" s="1"/>
  <c r="M228" i="55" s="1"/>
  <c r="M236" i="21"/>
  <c r="N236" i="21" s="1"/>
  <c r="K236" i="55" s="1"/>
  <c r="M236" i="55" s="1"/>
  <c r="M244" i="21"/>
  <c r="N244" i="21" s="1"/>
  <c r="K244" i="55" s="1"/>
  <c r="M244" i="55" s="1"/>
  <c r="M252" i="21"/>
  <c r="N252" i="21" s="1"/>
  <c r="K252" i="55" s="1"/>
  <c r="M252" i="55" s="1"/>
  <c r="M260" i="21"/>
  <c r="N260" i="21" s="1"/>
  <c r="K260" i="55" s="1"/>
  <c r="M260" i="55" s="1"/>
  <c r="M268" i="21"/>
  <c r="N268" i="21" s="1"/>
  <c r="K268" i="55" s="1"/>
  <c r="M268" i="55" s="1"/>
  <c r="M276" i="21"/>
  <c r="M284" i="21"/>
  <c r="N284" i="21" s="1"/>
  <c r="K284" i="55" s="1"/>
  <c r="M284" i="55" s="1"/>
  <c r="M292" i="21"/>
  <c r="N292" i="21" s="1"/>
  <c r="K292" i="55" s="1"/>
  <c r="M292" i="55" s="1"/>
  <c r="M300" i="21"/>
  <c r="N300" i="21" s="1"/>
  <c r="K300" i="55" s="1"/>
  <c r="M300" i="55" s="1"/>
  <c r="M8" i="21"/>
  <c r="M208" i="21"/>
  <c r="N208" i="21" s="1"/>
  <c r="K208" i="55" s="1"/>
  <c r="M208" i="55" s="1"/>
  <c r="M280" i="21"/>
  <c r="N280" i="21" s="1"/>
  <c r="K280" i="55" s="1"/>
  <c r="M280" i="55" s="1"/>
  <c r="M13" i="21"/>
  <c r="N13" i="21" s="1"/>
  <c r="K13" i="55" s="1"/>
  <c r="M13" i="55" s="1"/>
  <c r="M21" i="21"/>
  <c r="M29" i="21"/>
  <c r="N29" i="21" s="1"/>
  <c r="K29" i="55" s="1"/>
  <c r="M29" i="55" s="1"/>
  <c r="M37" i="21"/>
  <c r="N37" i="21" s="1"/>
  <c r="K37" i="55" s="1"/>
  <c r="M37" i="55" s="1"/>
  <c r="M45" i="21"/>
  <c r="N45" i="21" s="1"/>
  <c r="K45" i="55" s="1"/>
  <c r="M45" i="55" s="1"/>
  <c r="M53" i="21"/>
  <c r="N53" i="21" s="1"/>
  <c r="K53" i="55" s="1"/>
  <c r="M53" i="55" s="1"/>
  <c r="M61" i="21"/>
  <c r="N61" i="21" s="1"/>
  <c r="K61" i="55" s="1"/>
  <c r="M61" i="55" s="1"/>
  <c r="M69" i="21"/>
  <c r="N69" i="21" s="1"/>
  <c r="K69" i="55" s="1"/>
  <c r="M69" i="55" s="1"/>
  <c r="M77" i="21"/>
  <c r="N77" i="21" s="1"/>
  <c r="K77" i="55" s="1"/>
  <c r="M77" i="55" s="1"/>
  <c r="M85" i="21"/>
  <c r="M93" i="21"/>
  <c r="N93" i="21" s="1"/>
  <c r="K93" i="55" s="1"/>
  <c r="M93" i="55" s="1"/>
  <c r="M101" i="21"/>
  <c r="N101" i="21" s="1"/>
  <c r="K101" i="55" s="1"/>
  <c r="M101" i="55" s="1"/>
  <c r="M109" i="21"/>
  <c r="N109" i="21" s="1"/>
  <c r="K109" i="55" s="1"/>
  <c r="M109" i="55" s="1"/>
  <c r="M117" i="21"/>
  <c r="N117" i="21" s="1"/>
  <c r="K117" i="55" s="1"/>
  <c r="M117" i="55" s="1"/>
  <c r="M125" i="21"/>
  <c r="N125" i="21" s="1"/>
  <c r="K125" i="55" s="1"/>
  <c r="M125" i="55" s="1"/>
  <c r="M133" i="21"/>
  <c r="N133" i="21" s="1"/>
  <c r="K133" i="55" s="1"/>
  <c r="M133" i="55" s="1"/>
  <c r="M141" i="21"/>
  <c r="N141" i="21" s="1"/>
  <c r="K141" i="55" s="1"/>
  <c r="M141" i="55" s="1"/>
  <c r="M149" i="21"/>
  <c r="M157" i="21"/>
  <c r="N157" i="21" s="1"/>
  <c r="K157" i="55" s="1"/>
  <c r="M157" i="55" s="1"/>
  <c r="M165" i="21"/>
  <c r="N165" i="21" s="1"/>
  <c r="K165" i="55" s="1"/>
  <c r="M165" i="55" s="1"/>
  <c r="M173" i="21"/>
  <c r="N173" i="21" s="1"/>
  <c r="K173" i="55" s="1"/>
  <c r="M173" i="55" s="1"/>
  <c r="M181" i="21"/>
  <c r="N181" i="21" s="1"/>
  <c r="K181" i="55" s="1"/>
  <c r="M181" i="55" s="1"/>
  <c r="M189" i="21"/>
  <c r="N189" i="21" s="1"/>
  <c r="K189" i="55" s="1"/>
  <c r="M189" i="55" s="1"/>
  <c r="M197" i="21"/>
  <c r="N197" i="21" s="1"/>
  <c r="K197" i="55" s="1"/>
  <c r="M197" i="55" s="1"/>
  <c r="M205" i="21"/>
  <c r="N205" i="21" s="1"/>
  <c r="K205" i="55" s="1"/>
  <c r="M205" i="55" s="1"/>
  <c r="M213" i="21"/>
  <c r="M221" i="21"/>
  <c r="N221" i="21" s="1"/>
  <c r="K221" i="55" s="1"/>
  <c r="M221" i="55" s="1"/>
  <c r="M229" i="21"/>
  <c r="N229" i="21" s="1"/>
  <c r="K229" i="55" s="1"/>
  <c r="M229" i="55" s="1"/>
  <c r="M237" i="21"/>
  <c r="N237" i="21" s="1"/>
  <c r="K237" i="55" s="1"/>
  <c r="M237" i="55" s="1"/>
  <c r="M245" i="21"/>
  <c r="N245" i="21" s="1"/>
  <c r="K245" i="55" s="1"/>
  <c r="M245" i="55" s="1"/>
  <c r="M253" i="21"/>
  <c r="M261" i="21"/>
  <c r="N261" i="21" s="1"/>
  <c r="K261" i="55" s="1"/>
  <c r="M261" i="55" s="1"/>
  <c r="M269" i="21"/>
  <c r="N269" i="21" s="1"/>
  <c r="K269" i="55" s="1"/>
  <c r="M269" i="55" s="1"/>
  <c r="M277" i="21"/>
  <c r="M285" i="21"/>
  <c r="N285" i="21" s="1"/>
  <c r="K285" i="55" s="1"/>
  <c r="M285" i="55" s="1"/>
  <c r="M293" i="21"/>
  <c r="N293" i="21" s="1"/>
  <c r="K293" i="55" s="1"/>
  <c r="M293" i="55" s="1"/>
  <c r="M301" i="21"/>
  <c r="N301" i="21" s="1"/>
  <c r="K301" i="55" s="1"/>
  <c r="M301" i="55" s="1"/>
  <c r="M14" i="21"/>
  <c r="N14" i="21" s="1"/>
  <c r="K14" i="55" s="1"/>
  <c r="M14" i="55" s="1"/>
  <c r="M22" i="21"/>
  <c r="N22" i="21" s="1"/>
  <c r="K22" i="55" s="1"/>
  <c r="M22" i="55" s="1"/>
  <c r="M30" i="21"/>
  <c r="N30" i="21" s="1"/>
  <c r="K30" i="55" s="1"/>
  <c r="M30" i="55" s="1"/>
  <c r="M38" i="21"/>
  <c r="N38" i="21" s="1"/>
  <c r="K38" i="55" s="1"/>
  <c r="M38" i="55" s="1"/>
  <c r="M46" i="21"/>
  <c r="M54" i="21"/>
  <c r="N54" i="21" s="1"/>
  <c r="K54" i="55" s="1"/>
  <c r="M54" i="55" s="1"/>
  <c r="M62" i="21"/>
  <c r="N62" i="21" s="1"/>
  <c r="K62" i="55" s="1"/>
  <c r="M62" i="55" s="1"/>
  <c r="M70" i="21"/>
  <c r="N70" i="21" s="1"/>
  <c r="K70" i="55" s="1"/>
  <c r="M70" i="55" s="1"/>
  <c r="M78" i="21"/>
  <c r="N78" i="21" s="1"/>
  <c r="K78" i="55" s="1"/>
  <c r="M78" i="55" s="1"/>
  <c r="M86" i="21"/>
  <c r="N86" i="21" s="1"/>
  <c r="K86" i="55" s="1"/>
  <c r="M86" i="55" s="1"/>
  <c r="M94" i="21"/>
  <c r="N94" i="21" s="1"/>
  <c r="K94" i="55" s="1"/>
  <c r="M94" i="55" s="1"/>
  <c r="M102" i="21"/>
  <c r="N102" i="21" s="1"/>
  <c r="K102" i="55" s="1"/>
  <c r="M102" i="55" s="1"/>
  <c r="M110" i="21"/>
  <c r="M118" i="21"/>
  <c r="N118" i="21" s="1"/>
  <c r="K118" i="55" s="1"/>
  <c r="M126" i="21"/>
  <c r="N126" i="21" s="1"/>
  <c r="K126" i="55" s="1"/>
  <c r="M126" i="55" s="1"/>
  <c r="M134" i="21"/>
  <c r="N134" i="21" s="1"/>
  <c r="K134" i="55" s="1"/>
  <c r="M134" i="55" s="1"/>
  <c r="M142" i="21"/>
  <c r="N142" i="21" s="1"/>
  <c r="K142" i="55" s="1"/>
  <c r="M142" i="55" s="1"/>
  <c r="M150" i="21"/>
  <c r="N150" i="21" s="1"/>
  <c r="K150" i="55" s="1"/>
  <c r="M150" i="55" s="1"/>
  <c r="M158" i="21"/>
  <c r="N158" i="21" s="1"/>
  <c r="K158" i="55" s="1"/>
  <c r="M158" i="55" s="1"/>
  <c r="M166" i="21"/>
  <c r="N166" i="21" s="1"/>
  <c r="K166" i="55" s="1"/>
  <c r="M166" i="55" s="1"/>
  <c r="M174" i="21"/>
  <c r="M182" i="21"/>
  <c r="N182" i="21" s="1"/>
  <c r="K182" i="55" s="1"/>
  <c r="M182" i="55" s="1"/>
  <c r="M190" i="21"/>
  <c r="N190" i="21" s="1"/>
  <c r="K190" i="55" s="1"/>
  <c r="M190" i="55" s="1"/>
  <c r="M198" i="21"/>
  <c r="N198" i="21" s="1"/>
  <c r="K198" i="55" s="1"/>
  <c r="M198" i="55" s="1"/>
  <c r="M206" i="21"/>
  <c r="N206" i="21" s="1"/>
  <c r="K206" i="55" s="1"/>
  <c r="M206" i="55" s="1"/>
  <c r="M214" i="21"/>
  <c r="N214" i="21" s="1"/>
  <c r="K214" i="55" s="1"/>
  <c r="M214" i="55" s="1"/>
  <c r="M222" i="21"/>
  <c r="N222" i="21" s="1"/>
  <c r="K222" i="55" s="1"/>
  <c r="M222" i="55" s="1"/>
  <c r="M230" i="21"/>
  <c r="N230" i="21" s="1"/>
  <c r="K230" i="55" s="1"/>
  <c r="M230" i="55" s="1"/>
  <c r="M238" i="21"/>
  <c r="M246" i="21"/>
  <c r="N246" i="21" s="1"/>
  <c r="K246" i="55" s="1"/>
  <c r="M246" i="55" s="1"/>
  <c r="M254" i="21"/>
  <c r="N254" i="21" s="1"/>
  <c r="K254" i="55" s="1"/>
  <c r="M254" i="55" s="1"/>
  <c r="M262" i="21"/>
  <c r="N262" i="21" s="1"/>
  <c r="K262" i="55" s="1"/>
  <c r="M262" i="55" s="1"/>
  <c r="M270" i="21"/>
  <c r="N270" i="21" s="1"/>
  <c r="K270" i="55" s="1"/>
  <c r="M270" i="55" s="1"/>
  <c r="N278" i="21"/>
  <c r="K278" i="55" s="1"/>
  <c r="M278" i="55" s="1"/>
  <c r="M286" i="21"/>
  <c r="N286" i="21" s="1"/>
  <c r="K286" i="55" s="1"/>
  <c r="M286" i="55" s="1"/>
  <c r="M294" i="21"/>
  <c r="N294" i="21" s="1"/>
  <c r="K294" i="55" s="1"/>
  <c r="M294" i="55" s="1"/>
  <c r="M302" i="21"/>
  <c r="M15" i="21"/>
  <c r="N15" i="21" s="1"/>
  <c r="K15" i="55" s="1"/>
  <c r="M15" i="55" s="1"/>
  <c r="M23" i="21"/>
  <c r="N23" i="21" s="1"/>
  <c r="K23" i="55" s="1"/>
  <c r="M23" i="55" s="1"/>
  <c r="M31" i="21"/>
  <c r="N31" i="21" s="1"/>
  <c r="K31" i="55" s="1"/>
  <c r="M31" i="55" s="1"/>
  <c r="M39" i="21"/>
  <c r="N39" i="21" s="1"/>
  <c r="K39" i="55" s="1"/>
  <c r="M39" i="55" s="1"/>
  <c r="M47" i="21"/>
  <c r="N47" i="21" s="1"/>
  <c r="K47" i="55" s="1"/>
  <c r="M47" i="55" s="1"/>
  <c r="M55" i="21"/>
  <c r="N55" i="21" s="1"/>
  <c r="K55" i="55" s="1"/>
  <c r="M55" i="55" s="1"/>
  <c r="M63" i="21"/>
  <c r="N63" i="21" s="1"/>
  <c r="K63" i="55" s="1"/>
  <c r="M63" i="55" s="1"/>
  <c r="M71" i="21"/>
  <c r="M79" i="21"/>
  <c r="N79" i="21" s="1"/>
  <c r="K79" i="55" s="1"/>
  <c r="M79" i="55" s="1"/>
  <c r="M87" i="21"/>
  <c r="N87" i="21" s="1"/>
  <c r="K87" i="55" s="1"/>
  <c r="M87" i="55" s="1"/>
  <c r="M95" i="21"/>
  <c r="N95" i="21" s="1"/>
  <c r="K95" i="55" s="1"/>
  <c r="M95" i="55" s="1"/>
  <c r="M103" i="21"/>
  <c r="N103" i="21" s="1"/>
  <c r="K103" i="55" s="1"/>
  <c r="M103" i="55" s="1"/>
  <c r="M111" i="21"/>
  <c r="N111" i="21" s="1"/>
  <c r="K111" i="55" s="1"/>
  <c r="M111" i="55" s="1"/>
  <c r="M119" i="21"/>
  <c r="N119" i="21" s="1"/>
  <c r="K119" i="55" s="1"/>
  <c r="M119" i="55" s="1"/>
  <c r="M127" i="21"/>
  <c r="N127" i="21" s="1"/>
  <c r="K127" i="55" s="1"/>
  <c r="M127" i="55" s="1"/>
  <c r="M135" i="21"/>
  <c r="N135" i="21" s="1"/>
  <c r="K135" i="55" s="1"/>
  <c r="M135" i="55" s="1"/>
  <c r="M143" i="21"/>
  <c r="N143" i="21" s="1"/>
  <c r="K143" i="55" s="1"/>
  <c r="M143" i="55" s="1"/>
  <c r="M151" i="21"/>
  <c r="N151" i="21" s="1"/>
  <c r="K151" i="55" s="1"/>
  <c r="M151" i="55" s="1"/>
  <c r="M159" i="21"/>
  <c r="N159" i="21" s="1"/>
  <c r="K159" i="55" s="1"/>
  <c r="M159" i="55" s="1"/>
  <c r="M167" i="21"/>
  <c r="N167" i="21" s="1"/>
  <c r="K167" i="55" s="1"/>
  <c r="M167" i="55" s="1"/>
  <c r="M175" i="21"/>
  <c r="N175" i="21" s="1"/>
  <c r="K175" i="55" s="1"/>
  <c r="M175" i="55" s="1"/>
  <c r="M183" i="21"/>
  <c r="N183" i="21" s="1"/>
  <c r="K183" i="55" s="1"/>
  <c r="M183" i="55" s="1"/>
  <c r="M191" i="21"/>
  <c r="N191" i="21" s="1"/>
  <c r="K191" i="55" s="1"/>
  <c r="M191" i="55" s="1"/>
  <c r="M199" i="21"/>
  <c r="N199" i="21" s="1"/>
  <c r="K199" i="55" s="1"/>
  <c r="M199" i="55" s="1"/>
  <c r="M207" i="21"/>
  <c r="N207" i="21" s="1"/>
  <c r="K207" i="55" s="1"/>
  <c r="M207" i="55" s="1"/>
  <c r="M215" i="21"/>
  <c r="N215" i="21" s="1"/>
  <c r="K215" i="55" s="1"/>
  <c r="M215" i="55" s="1"/>
  <c r="M223" i="21"/>
  <c r="N223" i="21" s="1"/>
  <c r="K223" i="55" s="1"/>
  <c r="M223" i="55" s="1"/>
  <c r="M231" i="21"/>
  <c r="N231" i="21" s="1"/>
  <c r="K231" i="55" s="1"/>
  <c r="M231" i="55" s="1"/>
  <c r="M239" i="21"/>
  <c r="N239" i="21" s="1"/>
  <c r="K239" i="55" s="1"/>
  <c r="M239" i="55" s="1"/>
  <c r="M247" i="21"/>
  <c r="N247" i="21" s="1"/>
  <c r="K247" i="55" s="1"/>
  <c r="M247" i="55" s="1"/>
  <c r="M255" i="21"/>
  <c r="N255" i="21" s="1"/>
  <c r="K255" i="55" s="1"/>
  <c r="M255" i="55" s="1"/>
  <c r="M263" i="21"/>
  <c r="M271" i="21"/>
  <c r="N271" i="21" s="1"/>
  <c r="K271" i="55" s="1"/>
  <c r="M271" i="55" s="1"/>
  <c r="M279" i="21"/>
  <c r="N279" i="21" s="1"/>
  <c r="K279" i="55" s="1"/>
  <c r="M279" i="55" s="1"/>
  <c r="M287" i="21"/>
  <c r="N287" i="21" s="1"/>
  <c r="K287" i="55" s="1"/>
  <c r="M287" i="55" s="1"/>
  <c r="M295" i="21"/>
  <c r="N295" i="21" s="1"/>
  <c r="K295" i="55" s="1"/>
  <c r="M295" i="55" s="1"/>
  <c r="M303" i="21"/>
  <c r="N303" i="21" s="1"/>
  <c r="K303" i="55" s="1"/>
  <c r="M303" i="55" s="1"/>
  <c r="M192" i="21"/>
  <c r="N192" i="21" s="1"/>
  <c r="K192" i="55" s="1"/>
  <c r="M192" i="55" s="1"/>
  <c r="M232" i="21"/>
  <c r="N232" i="21" s="1"/>
  <c r="K232" i="55" s="1"/>
  <c r="M232" i="55" s="1"/>
  <c r="M264" i="21"/>
  <c r="N264" i="21" s="1"/>
  <c r="K264" i="55" s="1"/>
  <c r="M264" i="55" s="1"/>
  <c r="M288" i="21"/>
  <c r="N288" i="21" s="1"/>
  <c r="K288" i="55" s="1"/>
  <c r="M288" i="55" s="1"/>
  <c r="M16" i="21"/>
  <c r="N16" i="21" s="1"/>
  <c r="K16" i="55" s="1"/>
  <c r="M16" i="55" s="1"/>
  <c r="M24" i="21"/>
  <c r="N24" i="21" s="1"/>
  <c r="K24" i="55" s="1"/>
  <c r="M24" i="55" s="1"/>
  <c r="M32" i="21"/>
  <c r="N32" i="21" s="1"/>
  <c r="K32" i="55" s="1"/>
  <c r="M32" i="55" s="1"/>
  <c r="M40" i="21"/>
  <c r="N40" i="21" s="1"/>
  <c r="K40" i="55" s="1"/>
  <c r="M40" i="55" s="1"/>
  <c r="M48" i="21"/>
  <c r="N48" i="21" s="1"/>
  <c r="K48" i="55" s="1"/>
  <c r="M48" i="55" s="1"/>
  <c r="M56" i="21"/>
  <c r="N56" i="21" s="1"/>
  <c r="K56" i="55" s="1"/>
  <c r="M56" i="55" s="1"/>
  <c r="M64" i="21"/>
  <c r="M72" i="21"/>
  <c r="N72" i="21" s="1"/>
  <c r="K72" i="55" s="1"/>
  <c r="M72" i="55" s="1"/>
  <c r="M80" i="21"/>
  <c r="N80" i="21" s="1"/>
  <c r="K80" i="55" s="1"/>
  <c r="M80" i="55" s="1"/>
  <c r="M88" i="21"/>
  <c r="N88" i="21" s="1"/>
  <c r="K88" i="55" s="1"/>
  <c r="M88" i="55" s="1"/>
  <c r="M96" i="21"/>
  <c r="N96" i="21" s="1"/>
  <c r="K96" i="55" s="1"/>
  <c r="M96" i="55" s="1"/>
  <c r="M104" i="21"/>
  <c r="N104" i="21" s="1"/>
  <c r="K104" i="55" s="1"/>
  <c r="M104" i="55" s="1"/>
  <c r="M112" i="21"/>
  <c r="N112" i="21" s="1"/>
  <c r="K112" i="55" s="1"/>
  <c r="M112" i="55" s="1"/>
  <c r="M120" i="21"/>
  <c r="N120" i="21" s="1"/>
  <c r="K120" i="55" s="1"/>
  <c r="M120" i="55" s="1"/>
  <c r="M128" i="21"/>
  <c r="M136" i="21"/>
  <c r="N136" i="21" s="1"/>
  <c r="K136" i="55" s="1"/>
  <c r="M136" i="55" s="1"/>
  <c r="M144" i="21"/>
  <c r="N144" i="21" s="1"/>
  <c r="K144" i="55" s="1"/>
  <c r="M144" i="55" s="1"/>
  <c r="M152" i="21"/>
  <c r="N152" i="21" s="1"/>
  <c r="K152" i="55" s="1"/>
  <c r="M152" i="55" s="1"/>
  <c r="M160" i="21"/>
  <c r="N160" i="21" s="1"/>
  <c r="K160" i="55" s="1"/>
  <c r="M160" i="55" s="1"/>
  <c r="M168" i="21"/>
  <c r="N168" i="21" s="1"/>
  <c r="K168" i="55" s="1"/>
  <c r="M168" i="55" s="1"/>
  <c r="M176" i="21"/>
  <c r="N176" i="21" s="1"/>
  <c r="K176" i="55" s="1"/>
  <c r="M176" i="55" s="1"/>
  <c r="M184" i="21"/>
  <c r="N184" i="21" s="1"/>
  <c r="K184" i="55" s="1"/>
  <c r="M184" i="55" s="1"/>
  <c r="M200" i="21"/>
  <c r="N200" i="21" s="1"/>
  <c r="K200" i="55" s="1"/>
  <c r="M200" i="55" s="1"/>
  <c r="M224" i="21"/>
  <c r="N224" i="21" s="1"/>
  <c r="K224" i="55" s="1"/>
  <c r="M224" i="55" s="1"/>
  <c r="M240" i="21"/>
  <c r="N240" i="21" s="1"/>
  <c r="K240" i="55" s="1"/>
  <c r="M240" i="55" s="1"/>
  <c r="M248" i="21"/>
  <c r="N248" i="21" s="1"/>
  <c r="K248" i="55" s="1"/>
  <c r="M248" i="55" s="1"/>
  <c r="M272" i="21"/>
  <c r="N272" i="21" s="1"/>
  <c r="K272" i="55" s="1"/>
  <c r="M272" i="55" s="1"/>
  <c r="M304" i="21"/>
  <c r="N304" i="21" s="1"/>
  <c r="K304" i="55" s="1"/>
  <c r="M304" i="55" s="1"/>
  <c r="M9" i="21"/>
  <c r="N9" i="21" s="1"/>
  <c r="K9" i="55" s="1"/>
  <c r="M9" i="55" s="1"/>
  <c r="M17" i="21"/>
  <c r="N17" i="21" s="1"/>
  <c r="K17" i="55" s="1"/>
  <c r="M17" i="55" s="1"/>
  <c r="M25" i="21"/>
  <c r="N25" i="21" s="1"/>
  <c r="K25" i="55" s="1"/>
  <c r="M25" i="55" s="1"/>
  <c r="M33" i="21"/>
  <c r="N33" i="21" s="1"/>
  <c r="K33" i="55" s="1"/>
  <c r="M33" i="55" s="1"/>
  <c r="M41" i="21"/>
  <c r="N41" i="21" s="1"/>
  <c r="K41" i="55" s="1"/>
  <c r="M41" i="55" s="1"/>
  <c r="M49" i="21"/>
  <c r="N49" i="21" s="1"/>
  <c r="K49" i="55" s="1"/>
  <c r="M49" i="55" s="1"/>
  <c r="M57" i="21"/>
  <c r="N57" i="21" s="1"/>
  <c r="K57" i="55" s="1"/>
  <c r="M57" i="55" s="1"/>
  <c r="M65" i="21"/>
  <c r="N65" i="21" s="1"/>
  <c r="K65" i="55" s="1"/>
  <c r="M65" i="55" s="1"/>
  <c r="M73" i="21"/>
  <c r="N73" i="21" s="1"/>
  <c r="K73" i="55" s="1"/>
  <c r="M73" i="55" s="1"/>
  <c r="M81" i="21"/>
  <c r="N81" i="21" s="1"/>
  <c r="K81" i="55" s="1"/>
  <c r="M81" i="55" s="1"/>
  <c r="M89" i="21"/>
  <c r="N89" i="21" s="1"/>
  <c r="K89" i="55" s="1"/>
  <c r="M89" i="55" s="1"/>
  <c r="M97" i="21"/>
  <c r="N97" i="21" s="1"/>
  <c r="K97" i="55" s="1"/>
  <c r="M97" i="55" s="1"/>
  <c r="M105" i="21"/>
  <c r="N105" i="21" s="1"/>
  <c r="K105" i="55" s="1"/>
  <c r="M105" i="55" s="1"/>
  <c r="M113" i="21"/>
  <c r="M121" i="21"/>
  <c r="N121" i="21" s="1"/>
  <c r="K121" i="55" s="1"/>
  <c r="M121" i="55" s="1"/>
  <c r="M129" i="21"/>
  <c r="N129" i="21" s="1"/>
  <c r="K129" i="55" s="1"/>
  <c r="M129" i="55" s="1"/>
  <c r="M137" i="21"/>
  <c r="N137" i="21" s="1"/>
  <c r="K137" i="55" s="1"/>
  <c r="M137" i="55" s="1"/>
  <c r="M145" i="21"/>
  <c r="N145" i="21" s="1"/>
  <c r="K145" i="55" s="1"/>
  <c r="M145" i="55" s="1"/>
  <c r="M153" i="21"/>
  <c r="M161" i="21"/>
  <c r="N161" i="21" s="1"/>
  <c r="K161" i="55" s="1"/>
  <c r="M161" i="55" s="1"/>
  <c r="M169" i="21"/>
  <c r="N169" i="21" s="1"/>
  <c r="K169" i="55" s="1"/>
  <c r="M169" i="55" s="1"/>
  <c r="M177" i="21"/>
  <c r="N177" i="21" s="1"/>
  <c r="K177" i="55" s="1"/>
  <c r="M177" i="55" s="1"/>
  <c r="M185" i="21"/>
  <c r="N185" i="21" s="1"/>
  <c r="K185" i="55" s="1"/>
  <c r="M185" i="55" s="1"/>
  <c r="M193" i="21"/>
  <c r="N193" i="21" s="1"/>
  <c r="K193" i="55" s="1"/>
  <c r="M193" i="55" s="1"/>
  <c r="M201" i="21"/>
  <c r="N201" i="21" s="1"/>
  <c r="K201" i="55" s="1"/>
  <c r="M201" i="55" s="1"/>
  <c r="M209" i="21"/>
  <c r="N209" i="21" s="1"/>
  <c r="K209" i="55" s="1"/>
  <c r="M209" i="55" s="1"/>
  <c r="M217" i="21"/>
  <c r="M225" i="21"/>
  <c r="N225" i="21" s="1"/>
  <c r="K225" i="55" s="1"/>
  <c r="M225" i="55" s="1"/>
  <c r="M233" i="21"/>
  <c r="N233" i="21" s="1"/>
  <c r="K233" i="55" s="1"/>
  <c r="M233" i="55" s="1"/>
  <c r="M241" i="21"/>
  <c r="N241" i="21" s="1"/>
  <c r="K241" i="55" s="1"/>
  <c r="M241" i="55" s="1"/>
  <c r="M249" i="21"/>
  <c r="N249" i="21" s="1"/>
  <c r="K249" i="55" s="1"/>
  <c r="M249" i="55" s="1"/>
  <c r="M257" i="21"/>
  <c r="N257" i="21" s="1"/>
  <c r="K257" i="55" s="1"/>
  <c r="M257" i="55" s="1"/>
  <c r="M265" i="21"/>
  <c r="N265" i="21" s="1"/>
  <c r="K265" i="55" s="1"/>
  <c r="M265" i="55" s="1"/>
  <c r="M273" i="21"/>
  <c r="N273" i="21" s="1"/>
  <c r="K273" i="55" s="1"/>
  <c r="M273" i="55" s="1"/>
  <c r="M281" i="21"/>
  <c r="N281" i="21" s="1"/>
  <c r="K281" i="55" s="1"/>
  <c r="M281" i="55" s="1"/>
  <c r="M289" i="21"/>
  <c r="N289" i="21" s="1"/>
  <c r="K289" i="55" s="1"/>
  <c r="M289" i="55" s="1"/>
  <c r="M297" i="21"/>
  <c r="N297" i="21" s="1"/>
  <c r="K297" i="55" s="1"/>
  <c r="M297" i="55" s="1"/>
  <c r="M305" i="21"/>
  <c r="N305" i="21" s="1"/>
  <c r="K305" i="55" s="1"/>
  <c r="M305" i="55" s="1"/>
  <c r="M66" i="21"/>
  <c r="N66" i="21" s="1"/>
  <c r="K66" i="55" s="1"/>
  <c r="M66" i="55" s="1"/>
  <c r="M130" i="21"/>
  <c r="N130" i="21" s="1"/>
  <c r="K130" i="55" s="1"/>
  <c r="M130" i="55" s="1"/>
  <c r="M194" i="21"/>
  <c r="N194" i="21" s="1"/>
  <c r="K194" i="55" s="1"/>
  <c r="M194" i="55" s="1"/>
  <c r="M258" i="21"/>
  <c r="N258" i="21" s="1"/>
  <c r="K258" i="55" s="1"/>
  <c r="M258" i="55" s="1"/>
  <c r="M74" i="21"/>
  <c r="M138" i="21"/>
  <c r="N138" i="21" s="1"/>
  <c r="K138" i="55" s="1"/>
  <c r="M138" i="55" s="1"/>
  <c r="M266" i="21"/>
  <c r="N266" i="21" s="1"/>
  <c r="K266" i="55" s="1"/>
  <c r="M266" i="55" s="1"/>
  <c r="M154" i="21"/>
  <c r="N154" i="21" s="1"/>
  <c r="K154" i="55" s="1"/>
  <c r="M154" i="55" s="1"/>
  <c r="M282" i="21"/>
  <c r="N282" i="21" s="1"/>
  <c r="K282" i="55" s="1"/>
  <c r="M282" i="55" s="1"/>
  <c r="M226" i="21"/>
  <c r="N226" i="21" s="1"/>
  <c r="K226" i="55" s="1"/>
  <c r="M226" i="55" s="1"/>
  <c r="M42" i="21"/>
  <c r="N42" i="21" s="1"/>
  <c r="K42" i="55" s="1"/>
  <c r="M42" i="55" s="1"/>
  <c r="M234" i="21"/>
  <c r="N234" i="21" s="1"/>
  <c r="K234" i="55" s="1"/>
  <c r="M234" i="55" s="1"/>
  <c r="M242" i="21"/>
  <c r="N242" i="21" s="1"/>
  <c r="K242" i="55" s="1"/>
  <c r="M242" i="55" s="1"/>
  <c r="M122" i="21"/>
  <c r="N122" i="21" s="1"/>
  <c r="K122" i="55" s="1"/>
  <c r="M122" i="55" s="1"/>
  <c r="M186" i="21"/>
  <c r="N186" i="21" s="1"/>
  <c r="K186" i="55" s="1"/>
  <c r="M186" i="55" s="1"/>
  <c r="M10" i="21"/>
  <c r="N10" i="21" s="1"/>
  <c r="K10" i="55" s="1"/>
  <c r="M10" i="55" s="1"/>
  <c r="M202" i="21"/>
  <c r="N202" i="21" s="1"/>
  <c r="K202" i="55" s="1"/>
  <c r="M202" i="55" s="1"/>
  <c r="M34" i="21"/>
  <c r="N34" i="21" s="1"/>
  <c r="K34" i="55" s="1"/>
  <c r="M34" i="55" s="1"/>
  <c r="M290" i="21"/>
  <c r="N290" i="21" s="1"/>
  <c r="K290" i="55" s="1"/>
  <c r="M290" i="55" s="1"/>
  <c r="M106" i="21"/>
  <c r="N106" i="21" s="1"/>
  <c r="K106" i="55" s="1"/>
  <c r="M106" i="55" s="1"/>
  <c r="M114" i="21"/>
  <c r="M18" i="21"/>
  <c r="N18" i="21" s="1"/>
  <c r="K18" i="55" s="1"/>
  <c r="M18" i="55" s="1"/>
  <c r="M82" i="21"/>
  <c r="N82" i="21" s="1"/>
  <c r="K82" i="55" s="1"/>
  <c r="M82" i="55" s="1"/>
  <c r="M146" i="21"/>
  <c r="N146" i="21" s="1"/>
  <c r="K146" i="55" s="1"/>
  <c r="M146" i="55" s="1"/>
  <c r="M210" i="21"/>
  <c r="N210" i="21" s="1"/>
  <c r="K210" i="55" s="1"/>
  <c r="M210" i="55" s="1"/>
  <c r="M274" i="21"/>
  <c r="N274" i="21" s="1"/>
  <c r="K274" i="55" s="1"/>
  <c r="M274" i="55" s="1"/>
  <c r="M26" i="21"/>
  <c r="N26" i="21" s="1"/>
  <c r="K26" i="55" s="1"/>
  <c r="M26" i="55" s="1"/>
  <c r="M218" i="21"/>
  <c r="N218" i="21" s="1"/>
  <c r="K218" i="55" s="1"/>
  <c r="M218" i="55" s="1"/>
  <c r="M162" i="21"/>
  <c r="N162" i="21" s="1"/>
  <c r="K162" i="55" s="1"/>
  <c r="M162" i="55" s="1"/>
  <c r="M170" i="21"/>
  <c r="N170" i="21" s="1"/>
  <c r="K170" i="55" s="1"/>
  <c r="M170" i="55" s="1"/>
  <c r="M50" i="21"/>
  <c r="N50" i="21" s="1"/>
  <c r="K50" i="55" s="1"/>
  <c r="M50" i="55" s="1"/>
  <c r="M306" i="21"/>
  <c r="N306" i="21" s="1"/>
  <c r="K306" i="55" s="1"/>
  <c r="M306" i="55" s="1"/>
  <c r="M250" i="21"/>
  <c r="N250" i="21" s="1"/>
  <c r="K250" i="55" s="1"/>
  <c r="M250" i="55" s="1"/>
  <c r="M90" i="21"/>
  <c r="N90" i="21" s="1"/>
  <c r="K90" i="55" s="1"/>
  <c r="M90" i="55" s="1"/>
  <c r="M98" i="21"/>
  <c r="N98" i="21" s="1"/>
  <c r="K98" i="55" s="1"/>
  <c r="M98" i="55" s="1"/>
  <c r="M298" i="21"/>
  <c r="N298" i="21" s="1"/>
  <c r="K298" i="55" s="1"/>
  <c r="M298" i="55" s="1"/>
  <c r="M178" i="21"/>
  <c r="M58" i="21"/>
  <c r="N58" i="21" s="1"/>
  <c r="K58" i="55" s="1"/>
  <c r="M58" i="55" s="1"/>
  <c r="N20" i="21"/>
  <c r="K20" i="55" s="1"/>
  <c r="M20" i="55" s="1"/>
  <c r="N71" i="21"/>
  <c r="K71" i="55" s="1"/>
  <c r="M71" i="55" s="1"/>
  <c r="N21" i="21"/>
  <c r="K21" i="55" s="1"/>
  <c r="M21" i="55" s="1"/>
  <c r="N276" i="21"/>
  <c r="K276" i="55" s="1"/>
  <c r="M276" i="55" s="1"/>
  <c r="N263" i="21"/>
  <c r="K263" i="55" s="1"/>
  <c r="M263" i="55" s="1"/>
  <c r="N213" i="21"/>
  <c r="K213" i="55" s="1"/>
  <c r="M213" i="55" s="1"/>
  <c r="N11" i="21"/>
  <c r="K11" i="55" s="1"/>
  <c r="M11" i="55" s="1"/>
  <c r="N217" i="21"/>
  <c r="K217" i="55" s="1"/>
  <c r="M217" i="55" s="1"/>
  <c r="N283" i="21"/>
  <c r="K283" i="55" s="1"/>
  <c r="M283" i="55" s="1"/>
  <c r="N203" i="21"/>
  <c r="K203" i="55" s="1"/>
  <c r="M203" i="55" s="1"/>
  <c r="N27" i="21"/>
  <c r="K27" i="55" s="1"/>
  <c r="M27" i="55" s="1"/>
  <c r="N64" i="21"/>
  <c r="K64" i="55" s="1"/>
  <c r="M64" i="55" s="1"/>
  <c r="N35" i="21"/>
  <c r="K35" i="55" s="1"/>
  <c r="M35" i="55" s="1"/>
  <c r="N74" i="21"/>
  <c r="K74" i="55" s="1"/>
  <c r="M74" i="55" s="1"/>
  <c r="N277" i="21"/>
  <c r="K277" i="55" s="1"/>
  <c r="M277" i="55" s="1"/>
  <c r="N212" i="21"/>
  <c r="K212" i="55" s="1"/>
  <c r="M212" i="55" s="1"/>
  <c r="N219" i="21"/>
  <c r="K219" i="55" s="1"/>
  <c r="M219" i="55" s="1"/>
  <c r="N155" i="21"/>
  <c r="K155" i="55" s="1"/>
  <c r="M155" i="55" s="1"/>
  <c r="N110" i="21"/>
  <c r="K110" i="55" s="1"/>
  <c r="M110" i="55" s="1"/>
  <c r="N174" i="21"/>
  <c r="K174" i="55" s="1"/>
  <c r="M174" i="55" s="1"/>
  <c r="N85" i="21"/>
  <c r="K85" i="55" s="1"/>
  <c r="M85" i="55" s="1"/>
  <c r="N211" i="21"/>
  <c r="K211" i="55" s="1"/>
  <c r="M211" i="55" s="1"/>
  <c r="N148" i="21"/>
  <c r="K148" i="55" s="1"/>
  <c r="M148" i="55" s="1"/>
  <c r="N267" i="21"/>
  <c r="K267" i="55" s="1"/>
  <c r="M267" i="55" s="1"/>
  <c r="N46" i="21"/>
  <c r="K46" i="55" s="1"/>
  <c r="M46" i="55" s="1"/>
  <c r="N84" i="21"/>
  <c r="K84" i="55" s="1"/>
  <c r="M84" i="55" s="1"/>
  <c r="N128" i="21"/>
  <c r="K128" i="55" s="1"/>
  <c r="M128" i="55" s="1"/>
  <c r="N302" i="21"/>
  <c r="K302" i="55" s="1"/>
  <c r="M302" i="55" s="1"/>
  <c r="N153" i="21"/>
  <c r="K153" i="55" s="1"/>
  <c r="M153" i="55" s="1"/>
  <c r="N75" i="21"/>
  <c r="K75" i="55" s="1"/>
  <c r="M75" i="55" s="1"/>
  <c r="N91" i="21"/>
  <c r="K91" i="55" s="1"/>
  <c r="M91" i="55" s="1"/>
  <c r="N178" i="21"/>
  <c r="K178" i="55" s="1"/>
  <c r="M178" i="55" s="1"/>
  <c r="N139" i="21"/>
  <c r="K139" i="55" s="1"/>
  <c r="M139" i="55" s="1"/>
  <c r="N100" i="21"/>
  <c r="K100" i="55" s="1"/>
  <c r="M100" i="55" s="1"/>
  <c r="N149" i="21"/>
  <c r="K149" i="55" s="1"/>
  <c r="M149" i="55" s="1"/>
  <c r="N275" i="21"/>
  <c r="K275" i="55" s="1"/>
  <c r="M275" i="55" s="1"/>
  <c r="N238" i="21"/>
  <c r="K238" i="55" s="1"/>
  <c r="M238" i="55" s="1"/>
  <c r="M118" i="55" l="1"/>
  <c r="N253" i="21"/>
  <c r="K253" i="55" s="1"/>
  <c r="M253" i="55" s="1"/>
  <c r="K36" i="45" s="1"/>
  <c r="U16" i="45"/>
  <c r="U18" i="45" s="1"/>
  <c r="N113" i="21"/>
  <c r="K113" i="55" s="1"/>
  <c r="M113" i="55" s="1"/>
  <c r="E15" i="57" s="1"/>
  <c r="N114" i="21"/>
  <c r="K114" i="55" s="1"/>
  <c r="M114" i="55" s="1"/>
  <c r="N307" i="21"/>
  <c r="K307" i="55" s="1"/>
  <c r="M307" i="55" s="1"/>
  <c r="P18" i="45" l="1"/>
  <c r="E308" i="9" l="1"/>
  <c r="N308" i="9" l="1"/>
  <c r="Q308" i="3" l="1"/>
  <c r="V308" i="53"/>
  <c r="R308" i="3" l="1"/>
  <c r="R6" i="3" s="1"/>
  <c r="S27" i="3" l="1"/>
  <c r="T27" i="3" s="1"/>
  <c r="S44" i="3"/>
  <c r="T44" i="3" s="1"/>
  <c r="S305" i="3"/>
  <c r="T305" i="3" s="1"/>
  <c r="S67" i="3"/>
  <c r="T67" i="3" s="1"/>
  <c r="S65" i="3"/>
  <c r="T65" i="3" s="1"/>
  <c r="S64" i="3"/>
  <c r="T64" i="3" s="1"/>
  <c r="S107" i="3"/>
  <c r="T107" i="3" s="1"/>
  <c r="S224" i="3"/>
  <c r="T224" i="3" s="1"/>
  <c r="S161" i="3"/>
  <c r="T161" i="3" s="1"/>
  <c r="S30" i="3"/>
  <c r="T30" i="3" s="1"/>
  <c r="S152" i="3"/>
  <c r="T152" i="3" s="1"/>
  <c r="S223" i="3"/>
  <c r="T223" i="3" s="1"/>
  <c r="S139" i="3"/>
  <c r="T139" i="3" s="1"/>
  <c r="S304" i="3"/>
  <c r="T304" i="3" s="1"/>
  <c r="S209" i="3"/>
  <c r="T209" i="3" s="1"/>
  <c r="S302" i="3"/>
  <c r="T302" i="3" s="1"/>
  <c r="S276" i="3"/>
  <c r="T276" i="3" s="1"/>
  <c r="S306" i="3"/>
  <c r="T306" i="3" s="1"/>
  <c r="S90" i="3"/>
  <c r="T90" i="3" s="1"/>
  <c r="S87" i="3"/>
  <c r="T87" i="3" s="1"/>
  <c r="S231" i="3"/>
  <c r="T231" i="3" s="1"/>
  <c r="S215" i="3"/>
  <c r="T215" i="3" s="1"/>
  <c r="S12" i="3"/>
  <c r="T12" i="3" s="1"/>
  <c r="S68" i="3"/>
  <c r="T68" i="3" s="1"/>
  <c r="S77" i="3"/>
  <c r="T77" i="3" s="1"/>
  <c r="S10" i="3"/>
  <c r="T10" i="3" s="1"/>
  <c r="S88" i="3"/>
  <c r="T88" i="3" s="1"/>
  <c r="S109" i="3"/>
  <c r="T109" i="3" s="1"/>
  <c r="S171" i="3"/>
  <c r="T171" i="3" s="1"/>
  <c r="S43" i="3"/>
  <c r="T43" i="3" s="1"/>
  <c r="S278" i="3"/>
  <c r="T278" i="3" s="1"/>
  <c r="S105" i="3"/>
  <c r="T105" i="3" s="1"/>
  <c r="S51" i="3"/>
  <c r="T51" i="3" s="1"/>
  <c r="S245" i="3"/>
  <c r="T245" i="3" s="1"/>
  <c r="S148" i="3"/>
  <c r="T148" i="3" s="1"/>
  <c r="S182" i="3"/>
  <c r="T182" i="3" s="1"/>
  <c r="S13" i="3"/>
  <c r="T13" i="3" s="1"/>
  <c r="S226" i="3"/>
  <c r="T226" i="3" s="1"/>
  <c r="S200" i="3"/>
  <c r="T200" i="3" s="1"/>
  <c r="S154" i="3"/>
  <c r="T154" i="3" s="1"/>
  <c r="S70" i="3"/>
  <c r="T70" i="3" s="1"/>
  <c r="S93" i="3"/>
  <c r="T93" i="3" s="1"/>
  <c r="S162" i="3"/>
  <c r="T162" i="3" s="1"/>
  <c r="S270" i="3"/>
  <c r="T270" i="3" s="1"/>
  <c r="S286" i="3"/>
  <c r="T286" i="3" s="1"/>
  <c r="S169" i="3"/>
  <c r="T169" i="3" s="1"/>
  <c r="S178" i="3"/>
  <c r="T178" i="3" s="1"/>
  <c r="S217" i="3"/>
  <c r="T217" i="3" s="1"/>
  <c r="S287" i="3"/>
  <c r="T287" i="3" s="1"/>
  <c r="S193" i="3"/>
  <c r="T193" i="3" s="1"/>
  <c r="S20" i="3"/>
  <c r="T20" i="3" s="1"/>
  <c r="S101" i="3"/>
  <c r="T101" i="3" s="1"/>
  <c r="S201" i="3"/>
  <c r="T201" i="3" s="1"/>
  <c r="S45" i="3"/>
  <c r="T45" i="3" s="1"/>
  <c r="S133" i="3"/>
  <c r="T133" i="3" s="1"/>
  <c r="S91" i="3"/>
  <c r="T91" i="3" s="1"/>
  <c r="S156" i="3"/>
  <c r="T156" i="3" s="1"/>
  <c r="S235" i="3"/>
  <c r="T235" i="3" s="1"/>
  <c r="S190" i="3"/>
  <c r="T190" i="3" s="1"/>
  <c r="S252" i="3"/>
  <c r="T252" i="3" s="1"/>
  <c r="S242" i="3"/>
  <c r="T242" i="3" s="1"/>
  <c r="S186" i="3"/>
  <c r="T186" i="3" s="1"/>
  <c r="S136" i="3"/>
  <c r="T136" i="3" s="1"/>
  <c r="S204" i="3"/>
  <c r="T204" i="3" s="1"/>
  <c r="S248" i="3"/>
  <c r="T248" i="3" s="1"/>
  <c r="S81" i="3"/>
  <c r="T81" i="3" s="1"/>
  <c r="S158" i="3"/>
  <c r="T158" i="3" s="1"/>
  <c r="S251" i="3"/>
  <c r="T251" i="3" s="1"/>
  <c r="S147" i="3"/>
  <c r="T147" i="3" s="1"/>
  <c r="S221" i="3"/>
  <c r="T221" i="3" s="1"/>
  <c r="S130" i="3"/>
  <c r="T130" i="3" s="1"/>
  <c r="S191" i="3"/>
  <c r="T191" i="3" s="1"/>
  <c r="S17" i="3"/>
  <c r="T17" i="3" s="1"/>
  <c r="S40" i="3"/>
  <c r="T40" i="3" s="1"/>
  <c r="S266" i="3"/>
  <c r="T266" i="3" s="1"/>
  <c r="S52" i="3"/>
  <c r="T52" i="3" s="1"/>
  <c r="S84" i="3"/>
  <c r="T84" i="3" s="1"/>
  <c r="S94" i="3"/>
  <c r="T94" i="3" s="1"/>
  <c r="S263" i="3"/>
  <c r="T263" i="3" s="1"/>
  <c r="S150" i="3"/>
  <c r="T150" i="3" s="1"/>
  <c r="S9" i="3"/>
  <c r="T9" i="3" s="1"/>
  <c r="S41" i="3"/>
  <c r="T41" i="3" s="1"/>
  <c r="S208" i="3"/>
  <c r="T208" i="3" s="1"/>
  <c r="S33" i="3"/>
  <c r="T33" i="3" s="1"/>
  <c r="S237" i="3"/>
  <c r="T237" i="3" s="1"/>
  <c r="S299" i="3"/>
  <c r="T299" i="3" s="1"/>
  <c r="S275" i="3"/>
  <c r="T275" i="3" s="1"/>
  <c r="S271" i="3"/>
  <c r="T271" i="3" s="1"/>
  <c r="S225" i="3"/>
  <c r="T225" i="3" s="1"/>
  <c r="S298" i="3"/>
  <c r="T298" i="3" s="1"/>
  <c r="S23" i="3"/>
  <c r="T23" i="3" s="1"/>
  <c r="S100" i="3"/>
  <c r="T100" i="3" s="1"/>
  <c r="S303" i="3"/>
  <c r="T303" i="3" s="1"/>
  <c r="S117" i="3"/>
  <c r="T117" i="3" s="1"/>
  <c r="S247" i="3"/>
  <c r="T247" i="3" s="1"/>
  <c r="S76" i="3"/>
  <c r="T76" i="3" s="1"/>
  <c r="S198" i="3"/>
  <c r="T198" i="3" s="1"/>
  <c r="S83" i="3"/>
  <c r="T83" i="3" s="1"/>
  <c r="S58" i="3"/>
  <c r="T58" i="3" s="1"/>
  <c r="S110" i="3"/>
  <c r="T110" i="3" s="1"/>
  <c r="S34" i="3"/>
  <c r="T34" i="3" s="1"/>
  <c r="S16" i="3"/>
  <c r="T16" i="3" s="1"/>
  <c r="S179" i="3"/>
  <c r="T179" i="3" s="1"/>
  <c r="S146" i="3"/>
  <c r="T146" i="3" s="1"/>
  <c r="S296" i="3"/>
  <c r="T296" i="3" s="1"/>
  <c r="S212" i="3"/>
  <c r="T212" i="3" s="1"/>
  <c r="S95" i="3"/>
  <c r="T95" i="3" s="1"/>
  <c r="S279" i="3"/>
  <c r="T279" i="3" s="1"/>
  <c r="S69" i="3"/>
  <c r="T69" i="3" s="1"/>
  <c r="S211" i="3"/>
  <c r="T211" i="3" s="1"/>
  <c r="S261" i="3"/>
  <c r="T261" i="3" s="1"/>
  <c r="S259" i="3"/>
  <c r="T259" i="3" s="1"/>
  <c r="S96" i="3"/>
  <c r="T96" i="3" s="1"/>
  <c r="S233" i="3"/>
  <c r="T233" i="3" s="1"/>
  <c r="S291" i="3"/>
  <c r="T291" i="3" s="1"/>
  <c r="S194" i="3"/>
  <c r="T194" i="3" s="1"/>
  <c r="S39" i="3"/>
  <c r="T39" i="3" s="1"/>
  <c r="S184" i="3"/>
  <c r="T184" i="3" s="1"/>
  <c r="S267" i="3"/>
  <c r="T267" i="3" s="1"/>
  <c r="S214" i="3"/>
  <c r="T214" i="3" s="1"/>
  <c r="S160" i="3"/>
  <c r="T160" i="3" s="1"/>
  <c r="S145" i="3"/>
  <c r="T145" i="3" s="1"/>
  <c r="S159" i="3"/>
  <c r="T159" i="3" s="1"/>
  <c r="S137" i="3"/>
  <c r="T137" i="3" s="1"/>
  <c r="S195" i="3"/>
  <c r="T195" i="3" s="1"/>
  <c r="S202" i="3"/>
  <c r="T202" i="3" s="1"/>
  <c r="S189" i="3"/>
  <c r="T189" i="3" s="1"/>
  <c r="S144" i="3"/>
  <c r="T144" i="3" s="1"/>
  <c r="S135" i="3"/>
  <c r="T135" i="3" s="1"/>
  <c r="S115" i="3"/>
  <c r="T115" i="3" s="1"/>
  <c r="S241" i="3"/>
  <c r="T241" i="3" s="1"/>
  <c r="S15" i="3"/>
  <c r="T15" i="3" s="1"/>
  <c r="S157" i="3"/>
  <c r="T157" i="3" s="1"/>
  <c r="S8" i="3"/>
  <c r="S153" i="3"/>
  <c r="T153" i="3" s="1"/>
  <c r="S134" i="3"/>
  <c r="T134" i="3" s="1"/>
  <c r="S165" i="3"/>
  <c r="T165" i="3" s="1"/>
  <c r="S128" i="3"/>
  <c r="T128" i="3" s="1"/>
  <c r="S132" i="3"/>
  <c r="T132" i="3" s="1"/>
  <c r="S19" i="3"/>
  <c r="T19" i="3" s="1"/>
  <c r="S141" i="3"/>
  <c r="T141" i="3" s="1"/>
  <c r="S173" i="3"/>
  <c r="T173" i="3" s="1"/>
  <c r="S11" i="3"/>
  <c r="T11" i="3" s="1"/>
  <c r="S167" i="3"/>
  <c r="T167" i="3" s="1"/>
  <c r="S28" i="3"/>
  <c r="T28" i="3" s="1"/>
  <c r="S164" i="3"/>
  <c r="T164" i="3" s="1"/>
  <c r="S86" i="3"/>
  <c r="T86" i="3" s="1"/>
  <c r="S82" i="3"/>
  <c r="T82" i="3" s="1"/>
  <c r="S59" i="3"/>
  <c r="T59" i="3" s="1"/>
  <c r="S269" i="3"/>
  <c r="T269" i="3" s="1"/>
  <c r="S244" i="3"/>
  <c r="T244" i="3" s="1"/>
  <c r="S292" i="3"/>
  <c r="T292" i="3" s="1"/>
  <c r="S37" i="3"/>
  <c r="T37" i="3" s="1"/>
  <c r="S120" i="3"/>
  <c r="T120" i="3" s="1"/>
  <c r="S294" i="3"/>
  <c r="T294" i="3" s="1"/>
  <c r="S155" i="3"/>
  <c r="T155" i="3" s="1"/>
  <c r="S280" i="3"/>
  <c r="T280" i="3" s="1"/>
  <c r="S49" i="3"/>
  <c r="T49" i="3" s="1"/>
  <c r="S250" i="3"/>
  <c r="T250" i="3" s="1"/>
  <c r="S118" i="3"/>
  <c r="T118" i="3" s="1"/>
  <c r="S295" i="3"/>
  <c r="T295" i="3" s="1"/>
  <c r="S124" i="3"/>
  <c r="T124" i="3" s="1"/>
  <c r="S38" i="3"/>
  <c r="T38" i="3" s="1"/>
  <c r="S113" i="3"/>
  <c r="T113" i="3" s="1"/>
  <c r="S205" i="3"/>
  <c r="T205" i="3" s="1"/>
  <c r="S50" i="3"/>
  <c r="T50" i="3" s="1"/>
  <c r="S222" i="3"/>
  <c r="T222" i="3" s="1"/>
  <c r="S246" i="3"/>
  <c r="T246" i="3" s="1"/>
  <c r="S260" i="3"/>
  <c r="T260" i="3" s="1"/>
  <c r="S89" i="3"/>
  <c r="T89" i="3" s="1"/>
  <c r="S98" i="3"/>
  <c r="T98" i="3" s="1"/>
  <c r="S210" i="3"/>
  <c r="T210" i="3" s="1"/>
  <c r="S253" i="3"/>
  <c r="S111" i="3"/>
  <c r="T111" i="3" s="1"/>
  <c r="S255" i="3"/>
  <c r="T255" i="3" s="1"/>
  <c r="S301" i="3"/>
  <c r="T301" i="3" s="1"/>
  <c r="S265" i="3"/>
  <c r="T265" i="3" s="1"/>
  <c r="S172" i="3"/>
  <c r="T172" i="3" s="1"/>
  <c r="S297" i="3"/>
  <c r="T297" i="3" s="1"/>
  <c r="S78" i="3"/>
  <c r="T78" i="3" s="1"/>
  <c r="S97" i="3"/>
  <c r="T97" i="3" s="1"/>
  <c r="S18" i="3"/>
  <c r="T18" i="3" s="1"/>
  <c r="S264" i="3"/>
  <c r="T264" i="3" s="1"/>
  <c r="S274" i="3"/>
  <c r="T274" i="3" s="1"/>
  <c r="S116" i="3"/>
  <c r="T116" i="3" s="1"/>
  <c r="S22" i="3"/>
  <c r="T22" i="3" s="1"/>
  <c r="S108" i="3"/>
  <c r="T108" i="3" s="1"/>
  <c r="S185" i="3"/>
  <c r="T185" i="3" s="1"/>
  <c r="S285" i="3"/>
  <c r="T285" i="3" s="1"/>
  <c r="S36" i="3"/>
  <c r="T36" i="3" s="1"/>
  <c r="S243" i="3"/>
  <c r="T243" i="3" s="1"/>
  <c r="S99" i="3"/>
  <c r="T99" i="3" s="1"/>
  <c r="S174" i="3"/>
  <c r="T174" i="3" s="1"/>
  <c r="S289" i="3"/>
  <c r="T289" i="3" s="1"/>
  <c r="S72" i="3"/>
  <c r="T72" i="3" s="1"/>
  <c r="S102" i="3"/>
  <c r="T102" i="3" s="1"/>
  <c r="S47" i="3"/>
  <c r="T47" i="3" s="1"/>
  <c r="S129" i="3"/>
  <c r="T129" i="3" s="1"/>
  <c r="S232" i="3"/>
  <c r="T232" i="3" s="1"/>
  <c r="S80" i="3"/>
  <c r="T80" i="3" s="1"/>
  <c r="S234" i="3"/>
  <c r="T234" i="3" s="1"/>
  <c r="S127" i="3"/>
  <c r="T127" i="3" s="1"/>
  <c r="S126" i="3"/>
  <c r="T126" i="3" s="1"/>
  <c r="S272" i="3"/>
  <c r="T272" i="3" s="1"/>
  <c r="S79" i="3"/>
  <c r="T79" i="3" s="1"/>
  <c r="S262" i="3"/>
  <c r="T262" i="3" s="1"/>
  <c r="S257" i="3"/>
  <c r="T257" i="3" s="1"/>
  <c r="S239" i="3"/>
  <c r="T239" i="3" s="1"/>
  <c r="S283" i="3"/>
  <c r="T283" i="3" s="1"/>
  <c r="S197" i="3"/>
  <c r="T197" i="3" s="1"/>
  <c r="S268" i="3"/>
  <c r="T268" i="3" s="1"/>
  <c r="S21" i="3"/>
  <c r="T21" i="3" s="1"/>
  <c r="S85" i="3"/>
  <c r="T85" i="3" s="1"/>
  <c r="S281" i="3"/>
  <c r="T281" i="3" s="1"/>
  <c r="S188" i="3"/>
  <c r="T188" i="3" s="1"/>
  <c r="S14" i="3"/>
  <c r="T14" i="3" s="1"/>
  <c r="S307" i="3"/>
  <c r="T307" i="3" s="1"/>
  <c r="S238" i="3"/>
  <c r="T238" i="3" s="1"/>
  <c r="S177" i="3"/>
  <c r="T177" i="3" s="1"/>
  <c r="S74" i="3"/>
  <c r="T74" i="3" s="1"/>
  <c r="S219" i="3"/>
  <c r="T219" i="3" s="1"/>
  <c r="S206" i="3"/>
  <c r="T206" i="3" s="1"/>
  <c r="S207" i="3"/>
  <c r="T207" i="3" s="1"/>
  <c r="S35" i="3"/>
  <c r="T35" i="3" s="1"/>
  <c r="S125" i="3"/>
  <c r="T125" i="3" s="1"/>
  <c r="S240" i="3"/>
  <c r="T240" i="3" s="1"/>
  <c r="S175" i="3"/>
  <c r="T175" i="3" s="1"/>
  <c r="S218" i="3"/>
  <c r="T218" i="3" s="1"/>
  <c r="S258" i="3"/>
  <c r="T258" i="3" s="1"/>
  <c r="S92" i="3"/>
  <c r="T92" i="3" s="1"/>
  <c r="S54" i="3"/>
  <c r="T54" i="3" s="1"/>
  <c r="S103" i="3"/>
  <c r="T103" i="3" s="1"/>
  <c r="S42" i="3"/>
  <c r="T42" i="3" s="1"/>
  <c r="S229" i="3"/>
  <c r="T229" i="3" s="1"/>
  <c r="S228" i="3"/>
  <c r="T228" i="3" s="1"/>
  <c r="S220" i="3"/>
  <c r="T220" i="3" s="1"/>
  <c r="S230" i="3"/>
  <c r="T230" i="3" s="1"/>
  <c r="S71" i="3"/>
  <c r="T71" i="3" s="1"/>
  <c r="S32" i="3"/>
  <c r="T32" i="3" s="1"/>
  <c r="S122" i="3"/>
  <c r="T122" i="3" s="1"/>
  <c r="S57" i="3"/>
  <c r="T57" i="3" s="1"/>
  <c r="S170" i="3"/>
  <c r="T170" i="3" s="1"/>
  <c r="S112" i="3"/>
  <c r="T112" i="3" s="1"/>
  <c r="S180" i="3"/>
  <c r="T180" i="3" s="1"/>
  <c r="S123" i="3"/>
  <c r="T123" i="3" s="1"/>
  <c r="S282" i="3"/>
  <c r="T282" i="3" s="1"/>
  <c r="S140" i="3"/>
  <c r="T140" i="3" s="1"/>
  <c r="S31" i="3"/>
  <c r="T31" i="3" s="1"/>
  <c r="S192" i="3"/>
  <c r="T192" i="3" s="1"/>
  <c r="S60" i="3"/>
  <c r="T60" i="3" s="1"/>
  <c r="S56" i="3"/>
  <c r="T56" i="3" s="1"/>
  <c r="S163" i="3"/>
  <c r="T163" i="3" s="1"/>
  <c r="S114" i="3"/>
  <c r="T114" i="3" s="1"/>
  <c r="S203" i="3"/>
  <c r="T203" i="3" s="1"/>
  <c r="S24" i="3"/>
  <c r="T24" i="3" s="1"/>
  <c r="S55" i="3"/>
  <c r="T55" i="3" s="1"/>
  <c r="S46" i="3"/>
  <c r="T46" i="3" s="1"/>
  <c r="S61" i="3"/>
  <c r="T61" i="3" s="1"/>
  <c r="S166" i="3"/>
  <c r="T166" i="3" s="1"/>
  <c r="S256" i="3"/>
  <c r="T256" i="3" s="1"/>
  <c r="S25" i="3"/>
  <c r="T25" i="3" s="1"/>
  <c r="S249" i="3"/>
  <c r="T249" i="3" s="1"/>
  <c r="S106" i="3"/>
  <c r="T106" i="3" s="1"/>
  <c r="S187" i="3"/>
  <c r="T187" i="3" s="1"/>
  <c r="S293" i="3"/>
  <c r="T293" i="3" s="1"/>
  <c r="S284" i="3"/>
  <c r="T284" i="3" s="1"/>
  <c r="S104" i="3"/>
  <c r="T104" i="3" s="1"/>
  <c r="S196" i="3"/>
  <c r="T196" i="3" s="1"/>
  <c r="S62" i="3"/>
  <c r="T62" i="3" s="1"/>
  <c r="S26" i="3"/>
  <c r="T26" i="3" s="1"/>
  <c r="S199" i="3"/>
  <c r="T199" i="3" s="1"/>
  <c r="S138" i="3"/>
  <c r="T138" i="3" s="1"/>
  <c r="S227" i="3"/>
  <c r="T227" i="3" s="1"/>
  <c r="S216" i="3"/>
  <c r="T216" i="3" s="1"/>
  <c r="S213" i="3"/>
  <c r="T213" i="3" s="1"/>
  <c r="S48" i="3"/>
  <c r="T48" i="3" s="1"/>
  <c r="S288" i="3"/>
  <c r="T288" i="3" s="1"/>
  <c r="S131" i="3"/>
  <c r="T131" i="3" s="1"/>
  <c r="S290" i="3"/>
  <c r="T290" i="3" s="1"/>
  <c r="S273" i="3"/>
  <c r="T273" i="3" s="1"/>
  <c r="S143" i="3"/>
  <c r="T143" i="3" s="1"/>
  <c r="S121" i="3"/>
  <c r="T121" i="3" s="1"/>
  <c r="S151" i="3"/>
  <c r="T151" i="3" s="1"/>
  <c r="S75" i="3"/>
  <c r="T75" i="3" s="1"/>
  <c r="S181" i="3"/>
  <c r="T181" i="3" s="1"/>
  <c r="S53" i="3"/>
  <c r="T53" i="3" s="1"/>
  <c r="S29" i="3"/>
  <c r="T29" i="3" s="1"/>
  <c r="S66" i="3"/>
  <c r="T66" i="3" s="1"/>
  <c r="S254" i="3"/>
  <c r="T254" i="3" s="1"/>
  <c r="S277" i="3"/>
  <c r="T277" i="3" s="1"/>
  <c r="S183" i="3"/>
  <c r="T183" i="3" s="1"/>
  <c r="S300" i="3"/>
  <c r="T300" i="3" s="1"/>
  <c r="S168" i="3"/>
  <c r="T168" i="3" s="1"/>
  <c r="S63" i="3"/>
  <c r="T63" i="3" s="1"/>
  <c r="S176" i="3"/>
  <c r="T176" i="3" s="1"/>
  <c r="S236" i="3"/>
  <c r="T236" i="3" s="1"/>
  <c r="S73" i="3"/>
  <c r="T73" i="3" s="1"/>
  <c r="S119" i="3"/>
  <c r="T119" i="3" s="1"/>
  <c r="S142" i="3"/>
  <c r="T142" i="3" s="1"/>
  <c r="S149" i="3"/>
  <c r="T149" i="3" s="1"/>
  <c r="T253" i="3" l="1"/>
  <c r="E253" i="55" s="1"/>
  <c r="F253" i="55" s="1"/>
  <c r="G29" i="45"/>
  <c r="G31" i="45" s="1"/>
  <c r="B31" i="45" s="1"/>
  <c r="E273" i="55"/>
  <c r="F273" i="55" s="1"/>
  <c r="E187" i="55"/>
  <c r="F187" i="55" s="1"/>
  <c r="E55" i="55"/>
  <c r="F55" i="55" s="1"/>
  <c r="E31" i="55"/>
  <c r="F31" i="55" s="1"/>
  <c r="E122" i="55"/>
  <c r="F122" i="55" s="1"/>
  <c r="E103" i="55"/>
  <c r="F103" i="55" s="1"/>
  <c r="E35" i="55"/>
  <c r="F35" i="55" s="1"/>
  <c r="E14" i="55"/>
  <c r="F14" i="55" s="1"/>
  <c r="E239" i="55"/>
  <c r="F239" i="55" s="1"/>
  <c r="E80" i="55"/>
  <c r="F80" i="55" s="1"/>
  <c r="E99" i="55"/>
  <c r="F99" i="55" s="1"/>
  <c r="E274" i="55"/>
  <c r="F274" i="55" s="1"/>
  <c r="E301" i="55"/>
  <c r="F301" i="55" s="1"/>
  <c r="E246" i="55"/>
  <c r="F246" i="55" s="1"/>
  <c r="E118" i="55"/>
  <c r="E292" i="55"/>
  <c r="F292" i="55" s="1"/>
  <c r="E167" i="55"/>
  <c r="F167" i="55" s="1"/>
  <c r="E134" i="55"/>
  <c r="F134" i="55" s="1"/>
  <c r="E144" i="55"/>
  <c r="F144" i="55" s="1"/>
  <c r="E214" i="55"/>
  <c r="F214" i="55" s="1"/>
  <c r="E259" i="55"/>
  <c r="F259" i="55" s="1"/>
  <c r="E146" i="55"/>
  <c r="F146" i="55" s="1"/>
  <c r="E76" i="55"/>
  <c r="F76" i="55" s="1"/>
  <c r="E271" i="55"/>
  <c r="F271" i="55" s="1"/>
  <c r="E150" i="55"/>
  <c r="F150" i="55" s="1"/>
  <c r="E191" i="55"/>
  <c r="F191" i="55" s="1"/>
  <c r="E204" i="55"/>
  <c r="F204" i="55" s="1"/>
  <c r="E91" i="55"/>
  <c r="F91" i="55" s="1"/>
  <c r="E217" i="55"/>
  <c r="F217" i="55" s="1"/>
  <c r="E154" i="55"/>
  <c r="F154" i="55" s="1"/>
  <c r="E105" i="55"/>
  <c r="F105" i="55" s="1"/>
  <c r="E68" i="55"/>
  <c r="F68" i="55" s="1"/>
  <c r="E302" i="55"/>
  <c r="F302" i="55" s="1"/>
  <c r="E224" i="55"/>
  <c r="F224" i="55" s="1"/>
  <c r="E199" i="55"/>
  <c r="F199" i="55" s="1"/>
  <c r="E32" i="55"/>
  <c r="F32" i="55" s="1"/>
  <c r="E54" i="55"/>
  <c r="F54" i="55" s="1"/>
  <c r="E207" i="55"/>
  <c r="F207" i="55" s="1"/>
  <c r="E188" i="55"/>
  <c r="F188" i="55" s="1"/>
  <c r="E257" i="55"/>
  <c r="F257" i="55" s="1"/>
  <c r="E232" i="55"/>
  <c r="F232" i="55" s="1"/>
  <c r="E243" i="55"/>
  <c r="F243" i="55" s="1"/>
  <c r="E264" i="55"/>
  <c r="F264" i="55" s="1"/>
  <c r="E255" i="55"/>
  <c r="F255" i="55" s="1"/>
  <c r="E222" i="55"/>
  <c r="F222" i="55" s="1"/>
  <c r="E250" i="55"/>
  <c r="F250" i="55" s="1"/>
  <c r="E244" i="55"/>
  <c r="F244" i="55" s="1"/>
  <c r="E11" i="55"/>
  <c r="F11" i="55" s="1"/>
  <c r="E153" i="55"/>
  <c r="F153" i="55" s="1"/>
  <c r="E189" i="55"/>
  <c r="F189" i="55" s="1"/>
  <c r="E267" i="55"/>
  <c r="F267" i="55" s="1"/>
  <c r="E261" i="55"/>
  <c r="F261" i="55" s="1"/>
  <c r="E179" i="55"/>
  <c r="F179" i="55" s="1"/>
  <c r="E247" i="55"/>
  <c r="F247" i="55" s="1"/>
  <c r="E275" i="55"/>
  <c r="F275" i="55" s="1"/>
  <c r="E263" i="55"/>
  <c r="F263" i="55" s="1"/>
  <c r="E130" i="55"/>
  <c r="F130" i="55" s="1"/>
  <c r="E136" i="55"/>
  <c r="F136" i="55" s="1"/>
  <c r="E133" i="55"/>
  <c r="F133" i="55" s="1"/>
  <c r="E178" i="55"/>
  <c r="F178" i="55" s="1"/>
  <c r="E200" i="55"/>
  <c r="F200" i="55" s="1"/>
  <c r="E278" i="55"/>
  <c r="F278" i="55" s="1"/>
  <c r="E12" i="55"/>
  <c r="F12" i="55" s="1"/>
  <c r="E209" i="55"/>
  <c r="F209" i="55" s="1"/>
  <c r="E107" i="55"/>
  <c r="F107" i="55" s="1"/>
  <c r="E138" i="55"/>
  <c r="F138" i="55" s="1"/>
  <c r="E63" i="55"/>
  <c r="F63" i="55" s="1"/>
  <c r="E26" i="55"/>
  <c r="F26" i="55" s="1"/>
  <c r="E249" i="55"/>
  <c r="F249" i="55" s="1"/>
  <c r="E203" i="55"/>
  <c r="F203" i="55" s="1"/>
  <c r="E282" i="55"/>
  <c r="F282" i="55" s="1"/>
  <c r="E71" i="55"/>
  <c r="F71" i="55" s="1"/>
  <c r="E92" i="55"/>
  <c r="F92" i="55" s="1"/>
  <c r="E206" i="55"/>
  <c r="F206" i="55" s="1"/>
  <c r="E281" i="55"/>
  <c r="F281" i="55" s="1"/>
  <c r="E262" i="55"/>
  <c r="F262" i="55" s="1"/>
  <c r="E129" i="55"/>
  <c r="F129" i="55" s="1"/>
  <c r="E36" i="55"/>
  <c r="F36" i="55" s="1"/>
  <c r="E18" i="55"/>
  <c r="F18" i="55" s="1"/>
  <c r="E111" i="55"/>
  <c r="F111" i="55" s="1"/>
  <c r="E50" i="55"/>
  <c r="F50" i="55" s="1"/>
  <c r="E49" i="55"/>
  <c r="F49" i="55" s="1"/>
  <c r="E269" i="55"/>
  <c r="F269" i="55" s="1"/>
  <c r="E173" i="55"/>
  <c r="F173" i="55" s="1"/>
  <c r="E202" i="55"/>
  <c r="F202" i="55" s="1"/>
  <c r="E184" i="55"/>
  <c r="F184" i="55" s="1"/>
  <c r="E211" i="55"/>
  <c r="F211" i="55" s="1"/>
  <c r="E16" i="55"/>
  <c r="F16" i="55" s="1"/>
  <c r="E117" i="55"/>
  <c r="F117" i="55" s="1"/>
  <c r="E299" i="55"/>
  <c r="F299" i="55" s="1"/>
  <c r="E94" i="55"/>
  <c r="F94" i="55" s="1"/>
  <c r="E221" i="55"/>
  <c r="F221" i="55" s="1"/>
  <c r="E186" i="55"/>
  <c r="F186" i="55" s="1"/>
  <c r="E45" i="55"/>
  <c r="F45" i="55" s="1"/>
  <c r="E169" i="55"/>
  <c r="F169" i="55" s="1"/>
  <c r="E226" i="55"/>
  <c r="F226" i="55" s="1"/>
  <c r="E43" i="55"/>
  <c r="F43" i="55" s="1"/>
  <c r="E215" i="55"/>
  <c r="F215" i="55" s="1"/>
  <c r="E304" i="55"/>
  <c r="F304" i="55" s="1"/>
  <c r="E64" i="55"/>
  <c r="F64" i="55" s="1"/>
  <c r="E66" i="55"/>
  <c r="F66" i="55" s="1"/>
  <c r="E24" i="55"/>
  <c r="F24" i="55" s="1"/>
  <c r="E288" i="55"/>
  <c r="F288" i="55" s="1"/>
  <c r="E114" i="55"/>
  <c r="F114" i="55" s="1"/>
  <c r="E123" i="55"/>
  <c r="F123" i="55" s="1"/>
  <c r="E230" i="55"/>
  <c r="F230" i="55" s="1"/>
  <c r="E258" i="55"/>
  <c r="F258" i="55" s="1"/>
  <c r="E219" i="55"/>
  <c r="F219" i="55" s="1"/>
  <c r="E85" i="55"/>
  <c r="F85" i="55" s="1"/>
  <c r="E79" i="55"/>
  <c r="F79" i="55" s="1"/>
  <c r="E47" i="55"/>
  <c r="F47" i="55" s="1"/>
  <c r="E285" i="55"/>
  <c r="F285" i="55" s="1"/>
  <c r="E97" i="55"/>
  <c r="F97" i="55" s="1"/>
  <c r="E205" i="55"/>
  <c r="F205" i="55" s="1"/>
  <c r="E280" i="55"/>
  <c r="F280" i="55" s="1"/>
  <c r="E59" i="55"/>
  <c r="F59" i="55" s="1"/>
  <c r="E141" i="55"/>
  <c r="F141" i="55" s="1"/>
  <c r="E157" i="55"/>
  <c r="F157" i="55" s="1"/>
  <c r="E195" i="55"/>
  <c r="F195" i="55" s="1"/>
  <c r="E39" i="55"/>
  <c r="F39" i="55" s="1"/>
  <c r="E69" i="55"/>
  <c r="F69" i="55" s="1"/>
  <c r="E34" i="55"/>
  <c r="F34" i="55" s="1"/>
  <c r="E303" i="55"/>
  <c r="F303" i="55" s="1"/>
  <c r="E237" i="55"/>
  <c r="F237" i="55" s="1"/>
  <c r="E84" i="55"/>
  <c r="F84" i="55" s="1"/>
  <c r="E147" i="55"/>
  <c r="F147" i="55" s="1"/>
  <c r="E242" i="55"/>
  <c r="F242" i="55" s="1"/>
  <c r="E201" i="55"/>
  <c r="F201" i="55" s="1"/>
  <c r="E286" i="55"/>
  <c r="F286" i="55" s="1"/>
  <c r="E13" i="55"/>
  <c r="F13" i="55" s="1"/>
  <c r="E171" i="55"/>
  <c r="F171" i="55" s="1"/>
  <c r="E231" i="55"/>
  <c r="F231" i="55" s="1"/>
  <c r="E139" i="55"/>
  <c r="F139" i="55" s="1"/>
  <c r="E65" i="55"/>
  <c r="F65" i="55" s="1"/>
  <c r="E29" i="55"/>
  <c r="F29" i="55" s="1"/>
  <c r="E53" i="55"/>
  <c r="F53" i="55" s="1"/>
  <c r="E62" i="55"/>
  <c r="F62" i="55" s="1"/>
  <c r="E75" i="55"/>
  <c r="F75" i="55" s="1"/>
  <c r="E48" i="55"/>
  <c r="F48" i="55" s="1"/>
  <c r="E196" i="55"/>
  <c r="F196" i="55" s="1"/>
  <c r="E256" i="55"/>
  <c r="F256" i="55" s="1"/>
  <c r="E163" i="55"/>
  <c r="F163" i="55" s="1"/>
  <c r="E180" i="55"/>
  <c r="F180" i="55" s="1"/>
  <c r="E220" i="55"/>
  <c r="F220" i="55" s="1"/>
  <c r="E218" i="55"/>
  <c r="F218" i="55" s="1"/>
  <c r="E74" i="55"/>
  <c r="F74" i="55" s="1"/>
  <c r="E21" i="55"/>
  <c r="F21" i="55" s="1"/>
  <c r="E272" i="55"/>
  <c r="F272" i="55" s="1"/>
  <c r="E102" i="55"/>
  <c r="F102" i="55" s="1"/>
  <c r="E185" i="55"/>
  <c r="F185" i="55" s="1"/>
  <c r="E78" i="55"/>
  <c r="F78" i="55" s="1"/>
  <c r="E210" i="55"/>
  <c r="F210" i="55" s="1"/>
  <c r="E113" i="55"/>
  <c r="F113" i="55" s="1"/>
  <c r="E155" i="55"/>
  <c r="F155" i="55" s="1"/>
  <c r="E82" i="55"/>
  <c r="F82" i="55" s="1"/>
  <c r="E19" i="55"/>
  <c r="F19" i="55" s="1"/>
  <c r="E15" i="55"/>
  <c r="F15" i="55" s="1"/>
  <c r="E137" i="55"/>
  <c r="F137" i="55" s="1"/>
  <c r="E194" i="55"/>
  <c r="F194" i="55" s="1"/>
  <c r="E279" i="55"/>
  <c r="F279" i="55" s="1"/>
  <c r="E110" i="55"/>
  <c r="F110" i="55" s="1"/>
  <c r="E100" i="55"/>
  <c r="F100" i="55" s="1"/>
  <c r="E33" i="55"/>
  <c r="F33" i="55" s="1"/>
  <c r="E52" i="55"/>
  <c r="F52" i="55" s="1"/>
  <c r="E251" i="55"/>
  <c r="F251" i="55" s="1"/>
  <c r="E252" i="55"/>
  <c r="F252" i="55" s="1"/>
  <c r="E101" i="55"/>
  <c r="F101" i="55" s="1"/>
  <c r="E270" i="55"/>
  <c r="F270" i="55" s="1"/>
  <c r="E182" i="55"/>
  <c r="F182" i="55" s="1"/>
  <c r="E109" i="55"/>
  <c r="F109" i="55" s="1"/>
  <c r="E87" i="55"/>
  <c r="F87" i="55" s="1"/>
  <c r="E223" i="55"/>
  <c r="F223" i="55" s="1"/>
  <c r="E67" i="55"/>
  <c r="F67" i="55" s="1"/>
  <c r="E290" i="55"/>
  <c r="F290" i="55" s="1"/>
  <c r="E131" i="55"/>
  <c r="F131" i="55" s="1"/>
  <c r="E181" i="55"/>
  <c r="F181" i="55" s="1"/>
  <c r="E300" i="55"/>
  <c r="F300" i="55" s="1"/>
  <c r="E151" i="55"/>
  <c r="F151" i="55" s="1"/>
  <c r="E104" i="55"/>
  <c r="F104" i="55" s="1"/>
  <c r="E166" i="55"/>
  <c r="F166" i="55" s="1"/>
  <c r="E56" i="55"/>
  <c r="F56" i="55" s="1"/>
  <c r="E112" i="55"/>
  <c r="F112" i="55" s="1"/>
  <c r="E228" i="55"/>
  <c r="F228" i="55" s="1"/>
  <c r="E175" i="55"/>
  <c r="F175" i="55" s="1"/>
  <c r="E177" i="55"/>
  <c r="F177" i="55" s="1"/>
  <c r="E268" i="55"/>
  <c r="F268" i="55" s="1"/>
  <c r="E126" i="55"/>
  <c r="F126" i="55" s="1"/>
  <c r="E72" i="55"/>
  <c r="F72" i="55" s="1"/>
  <c r="E108" i="55"/>
  <c r="F108" i="55" s="1"/>
  <c r="E297" i="55"/>
  <c r="F297" i="55" s="1"/>
  <c r="E98" i="55"/>
  <c r="F98" i="55" s="1"/>
  <c r="E38" i="55"/>
  <c r="F38" i="55" s="1"/>
  <c r="E294" i="55"/>
  <c r="F294" i="55" s="1"/>
  <c r="E86" i="55"/>
  <c r="F86" i="55" s="1"/>
  <c r="E132" i="55"/>
  <c r="F132" i="55" s="1"/>
  <c r="E241" i="55"/>
  <c r="F241" i="55" s="1"/>
  <c r="E159" i="55"/>
  <c r="F159" i="55" s="1"/>
  <c r="E291" i="55"/>
  <c r="F291" i="55" s="1"/>
  <c r="E95" i="55"/>
  <c r="F95" i="55" s="1"/>
  <c r="E58" i="55"/>
  <c r="F58" i="55" s="1"/>
  <c r="E23" i="55"/>
  <c r="F23" i="55" s="1"/>
  <c r="E208" i="55"/>
  <c r="F208" i="55" s="1"/>
  <c r="E266" i="55"/>
  <c r="F266" i="55" s="1"/>
  <c r="E158" i="55"/>
  <c r="F158" i="55" s="1"/>
  <c r="E190" i="55"/>
  <c r="F190" i="55" s="1"/>
  <c r="E20" i="55"/>
  <c r="F20" i="55" s="1"/>
  <c r="E162" i="55"/>
  <c r="F162" i="55" s="1"/>
  <c r="E148" i="55"/>
  <c r="F148" i="55" s="1"/>
  <c r="E88" i="55"/>
  <c r="F88" i="55" s="1"/>
  <c r="E90" i="55"/>
  <c r="F90" i="55" s="1"/>
  <c r="E152" i="55"/>
  <c r="F152" i="55" s="1"/>
  <c r="E305" i="55"/>
  <c r="F305" i="55" s="1"/>
  <c r="E236" i="55"/>
  <c r="F236" i="55" s="1"/>
  <c r="E140" i="55"/>
  <c r="F140" i="55" s="1"/>
  <c r="E25" i="55"/>
  <c r="F25" i="55" s="1"/>
  <c r="E142" i="55"/>
  <c r="F142" i="55" s="1"/>
  <c r="E119" i="55"/>
  <c r="F119" i="55" s="1"/>
  <c r="E121" i="55"/>
  <c r="F121" i="55" s="1"/>
  <c r="E216" i="55"/>
  <c r="F216" i="55" s="1"/>
  <c r="E284" i="55"/>
  <c r="F284" i="55" s="1"/>
  <c r="E61" i="55"/>
  <c r="F61" i="55" s="1"/>
  <c r="E60" i="55"/>
  <c r="F60" i="55" s="1"/>
  <c r="E170" i="55"/>
  <c r="F170" i="55" s="1"/>
  <c r="E229" i="55"/>
  <c r="F229" i="55" s="1"/>
  <c r="E240" i="55"/>
  <c r="F240" i="55" s="1"/>
  <c r="E238" i="55"/>
  <c r="F238" i="55" s="1"/>
  <c r="E197" i="55"/>
  <c r="F197" i="55" s="1"/>
  <c r="E127" i="55"/>
  <c r="F127" i="55" s="1"/>
  <c r="E289" i="55"/>
  <c r="F289" i="55" s="1"/>
  <c r="E22" i="55"/>
  <c r="F22" i="55" s="1"/>
  <c r="E172" i="55"/>
  <c r="F172" i="55" s="1"/>
  <c r="E89" i="55"/>
  <c r="F89" i="55" s="1"/>
  <c r="E124" i="55"/>
  <c r="F124" i="55" s="1"/>
  <c r="E120" i="55"/>
  <c r="F120" i="55" s="1"/>
  <c r="E164" i="55"/>
  <c r="F164" i="55" s="1"/>
  <c r="E128" i="55"/>
  <c r="F128" i="55" s="1"/>
  <c r="E115" i="55"/>
  <c r="F115" i="55" s="1"/>
  <c r="E145" i="55"/>
  <c r="F145" i="55" s="1"/>
  <c r="E233" i="55"/>
  <c r="F233" i="55" s="1"/>
  <c r="E212" i="55"/>
  <c r="F212" i="55" s="1"/>
  <c r="E83" i="55"/>
  <c r="F83" i="55" s="1"/>
  <c r="E298" i="55"/>
  <c r="F298" i="55" s="1"/>
  <c r="E41" i="55"/>
  <c r="F41" i="55" s="1"/>
  <c r="E40" i="55"/>
  <c r="F40" i="55" s="1"/>
  <c r="E81" i="55"/>
  <c r="F81" i="55" s="1"/>
  <c r="E235" i="55"/>
  <c r="F235" i="55" s="1"/>
  <c r="E193" i="55"/>
  <c r="F193" i="55" s="1"/>
  <c r="E93" i="55"/>
  <c r="F93" i="55" s="1"/>
  <c r="E245" i="55"/>
  <c r="F245" i="55" s="1"/>
  <c r="E10" i="55"/>
  <c r="F10" i="55" s="1"/>
  <c r="E306" i="55"/>
  <c r="F306" i="55" s="1"/>
  <c r="E30" i="55"/>
  <c r="F30" i="55" s="1"/>
  <c r="E44" i="55"/>
  <c r="F44" i="55" s="1"/>
  <c r="E176" i="55"/>
  <c r="F176" i="55" s="1"/>
  <c r="E106" i="55"/>
  <c r="F106" i="55" s="1"/>
  <c r="E168" i="55"/>
  <c r="F168" i="55" s="1"/>
  <c r="E149" i="55"/>
  <c r="F149" i="55" s="1"/>
  <c r="E183" i="55"/>
  <c r="F183" i="55" s="1"/>
  <c r="E213" i="55"/>
  <c r="F213" i="55" s="1"/>
  <c r="E277" i="55"/>
  <c r="F277" i="55" s="1"/>
  <c r="E73" i="55"/>
  <c r="F73" i="55" s="1"/>
  <c r="E254" i="55"/>
  <c r="F254" i="55" s="1"/>
  <c r="E143" i="55"/>
  <c r="F143" i="55" s="1"/>
  <c r="E227" i="55"/>
  <c r="F227" i="55" s="1"/>
  <c r="E293" i="55"/>
  <c r="F293" i="55" s="1"/>
  <c r="E46" i="55"/>
  <c r="F46" i="55" s="1"/>
  <c r="E192" i="55"/>
  <c r="F192" i="55" s="1"/>
  <c r="E57" i="55"/>
  <c r="F57" i="55" s="1"/>
  <c r="E42" i="55"/>
  <c r="F42" i="55" s="1"/>
  <c r="E125" i="55"/>
  <c r="F125" i="55" s="1"/>
  <c r="E307" i="55"/>
  <c r="F307" i="55" s="1"/>
  <c r="E283" i="55"/>
  <c r="F283" i="55" s="1"/>
  <c r="E234" i="55"/>
  <c r="F234" i="55" s="1"/>
  <c r="E174" i="55"/>
  <c r="F174" i="55" s="1"/>
  <c r="E116" i="55"/>
  <c r="F116" i="55" s="1"/>
  <c r="E265" i="55"/>
  <c r="F265" i="55" s="1"/>
  <c r="E260" i="55"/>
  <c r="F260" i="55" s="1"/>
  <c r="E295" i="55"/>
  <c r="F295" i="55" s="1"/>
  <c r="E37" i="55"/>
  <c r="F37" i="55" s="1"/>
  <c r="E28" i="55"/>
  <c r="F28" i="55" s="1"/>
  <c r="E165" i="55"/>
  <c r="F165" i="55" s="1"/>
  <c r="E135" i="55"/>
  <c r="F135" i="55" s="1"/>
  <c r="E160" i="55"/>
  <c r="F160" i="55" s="1"/>
  <c r="E96" i="55"/>
  <c r="F96" i="55" s="1"/>
  <c r="E296" i="55"/>
  <c r="F296" i="55" s="1"/>
  <c r="E198" i="55"/>
  <c r="F198" i="55" s="1"/>
  <c r="E225" i="55"/>
  <c r="F225" i="55" s="1"/>
  <c r="E9" i="55"/>
  <c r="F9" i="55" s="1"/>
  <c r="E17" i="55"/>
  <c r="F17" i="55" s="1"/>
  <c r="E248" i="55"/>
  <c r="F248" i="55" s="1"/>
  <c r="E156" i="55"/>
  <c r="F156" i="55" s="1"/>
  <c r="E287" i="55"/>
  <c r="F287" i="55" s="1"/>
  <c r="E70" i="55"/>
  <c r="F70" i="55" s="1"/>
  <c r="E51" i="55"/>
  <c r="F51" i="55" s="1"/>
  <c r="E77" i="55"/>
  <c r="F77" i="55" s="1"/>
  <c r="E276" i="55"/>
  <c r="F276" i="55" s="1"/>
  <c r="E161" i="55"/>
  <c r="F161" i="55" s="1"/>
  <c r="E27" i="55"/>
  <c r="F27" i="55" s="1"/>
  <c r="S308" i="3"/>
  <c r="T8" i="3"/>
  <c r="T6" i="3" s="1"/>
  <c r="I36" i="45" l="1"/>
  <c r="F118" i="55"/>
  <c r="E5" i="57" s="1"/>
  <c r="E8" i="57"/>
  <c r="E8" i="55"/>
  <c r="E308" i="55" s="1"/>
  <c r="T308" i="3"/>
  <c r="F8" i="55" l="1"/>
  <c r="F308" i="55" l="1"/>
  <c r="M308" i="21"/>
  <c r="M6" i="21" s="1"/>
  <c r="N8" i="21"/>
  <c r="N308" i="21" l="1"/>
  <c r="N6" i="21" s="1"/>
  <c r="K8" i="55"/>
  <c r="K308" i="55" l="1"/>
  <c r="M8" i="55"/>
  <c r="M308" i="55" l="1"/>
  <c r="Q208" i="9" l="1"/>
  <c r="Q210" i="9"/>
  <c r="Q9" i="9"/>
  <c r="Q72" i="9"/>
  <c r="Q213" i="9"/>
  <c r="Q280" i="9"/>
  <c r="Q282" i="9"/>
  <c r="Q182" i="9"/>
  <c r="Q184" i="9"/>
  <c r="Q271" i="9"/>
  <c r="Q286" i="9"/>
  <c r="Q50" i="9"/>
  <c r="Q51" i="9"/>
  <c r="Q189" i="9"/>
  <c r="Q190" i="9"/>
  <c r="Q194" i="9"/>
  <c r="Q12" i="9"/>
  <c r="Q217" i="9"/>
  <c r="Q113" i="9"/>
  <c r="Q14" i="9"/>
  <c r="Q143" i="9"/>
  <c r="Q57" i="9"/>
  <c r="Q173" i="9"/>
  <c r="Q145" i="9"/>
  <c r="Q16" i="9"/>
  <c r="Q237" i="9"/>
  <c r="Q83" i="9"/>
  <c r="Q168" i="9"/>
  <c r="Q124" i="9"/>
  <c r="Q251" i="9"/>
  <c r="Q34" i="9"/>
  <c r="Q225" i="9"/>
  <c r="Q264" i="9"/>
  <c r="Q249" i="9"/>
  <c r="Q276" i="9"/>
  <c r="Q21" i="9"/>
  <c r="Q235" i="9"/>
  <c r="Q132" i="9"/>
  <c r="Q185" i="9"/>
  <c r="Q74" i="9"/>
  <c r="Q111" i="9"/>
  <c r="Q191" i="9"/>
  <c r="Q243" i="9"/>
  <c r="Q141" i="9"/>
  <c r="Q196" i="9"/>
  <c r="Q166" i="9"/>
  <c r="Q81" i="9"/>
  <c r="Q297" i="9"/>
  <c r="Q226" i="9"/>
  <c r="Q175" i="9"/>
  <c r="Q211" i="9"/>
  <c r="Q26" i="9"/>
  <c r="Q27" i="9"/>
  <c r="Q130" i="9"/>
  <c r="Q93" i="9"/>
  <c r="Q45" i="9"/>
  <c r="Q10" i="9"/>
  <c r="Q94" i="9"/>
  <c r="Q47" i="9"/>
  <c r="Q38" i="9"/>
  <c r="Q162" i="9"/>
  <c r="Q139" i="9"/>
  <c r="Q39" i="9"/>
  <c r="Q79" i="9"/>
  <c r="Q53" i="9"/>
  <c r="Q157" i="9"/>
  <c r="Q44" i="9"/>
  <c r="Q13" i="9"/>
  <c r="Q218" i="9"/>
  <c r="Q56" i="9"/>
  <c r="Q58" i="9"/>
  <c r="Q219" i="9"/>
  <c r="Q80" i="9"/>
  <c r="Q104" i="9"/>
  <c r="Q295" i="9"/>
  <c r="Q262" i="9"/>
  <c r="Q116" i="9"/>
  <c r="Q20" i="9"/>
  <c r="Q252" i="9"/>
  <c r="Q35" i="9"/>
  <c r="Q234" i="9"/>
  <c r="Q107" i="9"/>
  <c r="Q302" i="9"/>
  <c r="Q205" i="9"/>
  <c r="Q265" i="9"/>
  <c r="Q155" i="9"/>
  <c r="Q92" i="9"/>
  <c r="Q239" i="9"/>
  <c r="Q46" i="9"/>
  <c r="Q186" i="9"/>
  <c r="Q288" i="9"/>
  <c r="Q28" i="9"/>
  <c r="Q90" i="9"/>
  <c r="Q70" i="9"/>
  <c r="Q177" i="9"/>
  <c r="Q279" i="9"/>
  <c r="Q158" i="9"/>
  <c r="Q221" i="9"/>
  <c r="Q55" i="9"/>
  <c r="Q144" i="9"/>
  <c r="Q89" i="9"/>
  <c r="Q293" i="9"/>
  <c r="Q84" i="9"/>
  <c r="Q148" i="9"/>
  <c r="Q88" i="9"/>
  <c r="Q23" i="9"/>
  <c r="Q108" i="9"/>
  <c r="Q277" i="9"/>
  <c r="Q127" i="9"/>
  <c r="Q254" i="9"/>
  <c r="Q281" i="9"/>
  <c r="Q160" i="9"/>
  <c r="Q240" i="9"/>
  <c r="Q11" i="9"/>
  <c r="Q187" i="9"/>
  <c r="Q161" i="9"/>
  <c r="Q188" i="9"/>
  <c r="Q289" i="9"/>
  <c r="Q52" i="9"/>
  <c r="Q98" i="9"/>
  <c r="Q54" i="9"/>
  <c r="Q163" i="9"/>
  <c r="Q199" i="9"/>
  <c r="Q267" i="9"/>
  <c r="Q142" i="9"/>
  <c r="Q122" i="9"/>
  <c r="Q244" i="9"/>
  <c r="Q60" i="9"/>
  <c r="Q102" i="9"/>
  <c r="Q220" i="9"/>
  <c r="Q82" i="9"/>
  <c r="Q65" i="9"/>
  <c r="Q123" i="9"/>
  <c r="Q224" i="9"/>
  <c r="Q85" i="9"/>
  <c r="Q125" i="9"/>
  <c r="Q298" i="9"/>
  <c r="Q203" i="9"/>
  <c r="Q303" i="9"/>
  <c r="Q171" i="9"/>
  <c r="Q172" i="9"/>
  <c r="Q156" i="9"/>
  <c r="Q283" i="9"/>
  <c r="Q95" i="9"/>
  <c r="Q287" i="9"/>
  <c r="Q76" i="9"/>
  <c r="Q99" i="9"/>
  <c r="Q274" i="9"/>
  <c r="Q164" i="9"/>
  <c r="Q32" i="9"/>
  <c r="Q15" i="9"/>
  <c r="Q245" i="9"/>
  <c r="Q147" i="9"/>
  <c r="Q36" i="9"/>
  <c r="Q300" i="9"/>
  <c r="Q152" i="9"/>
  <c r="Q304" i="9"/>
  <c r="Q207" i="9"/>
  <c r="Q37" i="9"/>
  <c r="Q278" i="9"/>
  <c r="Q212" i="9"/>
  <c r="Q42" i="9"/>
  <c r="Q255" i="9"/>
  <c r="Q269" i="9"/>
  <c r="Q214" i="9"/>
  <c r="Q120" i="9"/>
  <c r="Q230" i="9"/>
  <c r="Q110" i="9"/>
  <c r="Q49" i="9"/>
  <c r="Q257" i="9"/>
  <c r="Q258" i="9"/>
  <c r="Q78" i="9"/>
  <c r="Q259" i="9"/>
  <c r="Q242" i="9"/>
  <c r="Q272" i="9"/>
  <c r="Q66" i="9"/>
  <c r="Q268" i="9"/>
  <c r="Q30" i="9"/>
  <c r="Q231" i="9"/>
  <c r="Q59" i="9"/>
  <c r="Q232" i="9"/>
  <c r="Q103" i="9"/>
  <c r="Q294" i="9"/>
  <c r="Q115" i="9"/>
  <c r="Q296" i="9"/>
  <c r="Q117" i="9"/>
  <c r="Q119" i="9"/>
  <c r="Q86" i="9"/>
  <c r="Q149" i="9"/>
  <c r="Q68" i="9"/>
  <c r="Q246" i="9"/>
  <c r="Q227" i="9"/>
  <c r="Q87" i="9"/>
  <c r="Q69" i="9"/>
  <c r="Q306" i="9"/>
  <c r="Q43" i="9"/>
  <c r="Q256" i="9"/>
  <c r="Q250" i="9"/>
  <c r="Q133" i="9"/>
  <c r="Q285" i="9"/>
  <c r="Q75" i="9"/>
  <c r="Q96" i="9"/>
  <c r="Q29" i="9"/>
  <c r="Q236" i="9"/>
  <c r="Q114" i="9"/>
  <c r="Q31" i="9"/>
  <c r="Q273" i="9"/>
  <c r="Q17" i="9"/>
  <c r="Q198" i="9"/>
  <c r="Q223" i="9"/>
  <c r="Q200" i="9"/>
  <c r="Q299" i="9"/>
  <c r="Q228" i="9"/>
  <c r="Q154" i="9"/>
  <c r="Q307" i="9"/>
  <c r="Q209" i="9"/>
  <c r="Q71" i="9"/>
  <c r="Q178" i="9"/>
  <c r="Q253" i="9"/>
  <c r="Q24" i="9"/>
  <c r="Q25" i="9"/>
  <c r="Q91" i="9"/>
  <c r="Q129" i="9"/>
  <c r="Q131" i="9"/>
  <c r="Q180" i="9"/>
  <c r="Q284" i="9"/>
  <c r="Q134" i="9"/>
  <c r="Q241" i="9"/>
  <c r="Q216" i="9"/>
  <c r="Q135" i="9"/>
  <c r="Q137" i="9"/>
  <c r="Q77" i="9"/>
  <c r="Q97" i="9"/>
  <c r="Q192" i="9"/>
  <c r="Q100" i="9"/>
  <c r="Q238" i="9"/>
  <c r="Q266" i="9"/>
  <c r="Q204" i="9"/>
  <c r="Q165" i="9"/>
  <c r="Q290" i="9"/>
  <c r="Q291" i="9"/>
  <c r="Q61" i="9"/>
  <c r="Q197" i="9"/>
  <c r="Q18" i="9"/>
  <c r="Q63" i="9"/>
  <c r="Q222" i="9"/>
  <c r="Q118" i="9"/>
  <c r="Q233" i="9"/>
  <c r="Q106" i="9"/>
  <c r="Q126" i="9"/>
  <c r="Q170" i="9"/>
  <c r="Q247" i="9"/>
  <c r="Q151" i="9"/>
  <c r="Q153" i="9"/>
  <c r="Q305" i="9"/>
  <c r="Q22" i="9"/>
  <c r="Q202" i="9"/>
  <c r="Q301" i="9"/>
  <c r="Q248" i="9"/>
  <c r="Q128" i="9"/>
  <c r="Q263" i="9"/>
  <c r="Q150" i="9"/>
  <c r="Q174" i="9"/>
  <c r="Q176" i="9"/>
  <c r="Q41" i="9"/>
  <c r="Q179" i="9"/>
  <c r="Q73" i="9"/>
  <c r="Q159" i="9"/>
  <c r="Q181" i="9"/>
  <c r="Q109" i="9"/>
  <c r="Q183" i="9"/>
  <c r="Q270" i="9"/>
  <c r="Q48" i="9"/>
  <c r="Q136" i="9"/>
  <c r="Q138" i="9"/>
  <c r="Q140" i="9"/>
  <c r="Q121" i="9"/>
  <c r="Q193" i="9"/>
  <c r="Q195" i="9"/>
  <c r="Q112" i="9"/>
  <c r="Q206" i="9"/>
  <c r="Q215" i="9"/>
  <c r="Q260" i="9"/>
  <c r="Q101" i="9"/>
  <c r="Q292" i="9"/>
  <c r="Q261" i="9"/>
  <c r="Q167" i="9"/>
  <c r="Q62" i="9"/>
  <c r="Q64" i="9"/>
  <c r="Q146" i="9"/>
  <c r="Q19" i="9"/>
  <c r="Q169" i="9"/>
  <c r="Q33" i="9"/>
  <c r="Q67" i="9"/>
  <c r="Q275" i="9"/>
  <c r="Q229" i="9"/>
  <c r="Q105" i="9"/>
  <c r="Q201" i="9"/>
  <c r="Q40" i="9"/>
  <c r="P207" i="9"/>
  <c r="P37" i="9"/>
  <c r="P278" i="9"/>
  <c r="P212" i="9"/>
  <c r="P42" i="9"/>
  <c r="P255" i="9"/>
  <c r="P269" i="9"/>
  <c r="P214" i="9"/>
  <c r="P120" i="9"/>
  <c r="P230" i="9"/>
  <c r="P110" i="9"/>
  <c r="P49" i="9"/>
  <c r="P257" i="9"/>
  <c r="P258" i="9"/>
  <c r="P78" i="9"/>
  <c r="P259" i="9"/>
  <c r="P242" i="9"/>
  <c r="P272" i="9"/>
  <c r="P66" i="9"/>
  <c r="P268" i="9"/>
  <c r="P30" i="9"/>
  <c r="P231" i="9"/>
  <c r="P59" i="9"/>
  <c r="P232" i="9"/>
  <c r="P103" i="9"/>
  <c r="P294" i="9"/>
  <c r="P115" i="9"/>
  <c r="P296" i="9"/>
  <c r="P117" i="9"/>
  <c r="P119" i="9"/>
  <c r="P86" i="9"/>
  <c r="P149" i="9"/>
  <c r="P68" i="9"/>
  <c r="P246" i="9"/>
  <c r="P227" i="9"/>
  <c r="P87" i="9"/>
  <c r="P69" i="9"/>
  <c r="P306" i="9"/>
  <c r="P307" i="9"/>
  <c r="P130" i="9"/>
  <c r="P94" i="9"/>
  <c r="P79" i="9"/>
  <c r="P56" i="9"/>
  <c r="P262" i="9"/>
  <c r="P234" i="9"/>
  <c r="P265" i="9"/>
  <c r="P52" i="9"/>
  <c r="P122" i="9"/>
  <c r="P65" i="9"/>
  <c r="P203" i="9"/>
  <c r="P156" i="9"/>
  <c r="P209" i="9"/>
  <c r="P71" i="9"/>
  <c r="P178" i="9"/>
  <c r="P43" i="9"/>
  <c r="P256" i="9"/>
  <c r="P250" i="9"/>
  <c r="P283" i="9"/>
  <c r="P133" i="9"/>
  <c r="P95" i="9"/>
  <c r="P285" i="9"/>
  <c r="P287" i="9"/>
  <c r="P75" i="9"/>
  <c r="P76" i="9"/>
  <c r="P96" i="9"/>
  <c r="P29" i="9"/>
  <c r="P99" i="9"/>
  <c r="P236" i="9"/>
  <c r="P274" i="9"/>
  <c r="P114" i="9"/>
  <c r="P164" i="9"/>
  <c r="P31" i="9"/>
  <c r="P32" i="9"/>
  <c r="P273" i="9"/>
  <c r="P15" i="9"/>
  <c r="P17" i="9"/>
  <c r="P245" i="9"/>
  <c r="P198" i="9"/>
  <c r="P223" i="9"/>
  <c r="P147" i="9"/>
  <c r="P200" i="9"/>
  <c r="P36" i="9"/>
  <c r="P299" i="9"/>
  <c r="P300" i="9"/>
  <c r="P228" i="9"/>
  <c r="P152" i="9"/>
  <c r="P154" i="9"/>
  <c r="P128" i="9"/>
  <c r="P93" i="9"/>
  <c r="P38" i="9"/>
  <c r="P39" i="9"/>
  <c r="P13" i="9"/>
  <c r="P80" i="9"/>
  <c r="P107" i="9"/>
  <c r="P161" i="9"/>
  <c r="P163" i="9"/>
  <c r="P244" i="9"/>
  <c r="P123" i="9"/>
  <c r="P303" i="9"/>
  <c r="P253" i="9"/>
  <c r="N23" i="45" s="1"/>
  <c r="P24" i="9"/>
  <c r="P25" i="9"/>
  <c r="P91" i="9"/>
  <c r="P129" i="9"/>
  <c r="P131" i="9"/>
  <c r="P180" i="9"/>
  <c r="P284" i="9"/>
  <c r="P134" i="9"/>
  <c r="P241" i="9"/>
  <c r="P216" i="9"/>
  <c r="P135" i="9"/>
  <c r="P137" i="9"/>
  <c r="P77" i="9"/>
  <c r="P97" i="9"/>
  <c r="P192" i="9"/>
  <c r="P100" i="9"/>
  <c r="P238" i="9"/>
  <c r="P266" i="9"/>
  <c r="P204" i="9"/>
  <c r="P165" i="9"/>
  <c r="P290" i="9"/>
  <c r="P291" i="9"/>
  <c r="P61" i="9"/>
  <c r="P197" i="9"/>
  <c r="P18" i="9"/>
  <c r="P63" i="9"/>
  <c r="P222" i="9"/>
  <c r="P118" i="9"/>
  <c r="P233" i="9"/>
  <c r="P106" i="9"/>
  <c r="P126" i="9"/>
  <c r="P170" i="9"/>
  <c r="P247" i="9"/>
  <c r="P151" i="9"/>
  <c r="P153" i="9"/>
  <c r="P305" i="9"/>
  <c r="P22" i="9"/>
  <c r="P211" i="9"/>
  <c r="P45" i="9"/>
  <c r="P162" i="9"/>
  <c r="P157" i="9"/>
  <c r="P218" i="9"/>
  <c r="P295" i="9"/>
  <c r="P252" i="9"/>
  <c r="P205" i="9"/>
  <c r="P289" i="9"/>
  <c r="P199" i="9"/>
  <c r="P102" i="9"/>
  <c r="P85" i="9"/>
  <c r="P172" i="9"/>
  <c r="P174" i="9"/>
  <c r="P176" i="9"/>
  <c r="P41" i="9"/>
  <c r="P179" i="9"/>
  <c r="P73" i="9"/>
  <c r="P159" i="9"/>
  <c r="P181" i="9"/>
  <c r="P109" i="9"/>
  <c r="P183" i="9"/>
  <c r="P270" i="9"/>
  <c r="P48" i="9"/>
  <c r="P136" i="9"/>
  <c r="P138" i="9"/>
  <c r="P140" i="9"/>
  <c r="P121" i="9"/>
  <c r="P193" i="9"/>
  <c r="P195" i="9"/>
  <c r="P112" i="9"/>
  <c r="P206" i="9"/>
  <c r="P215" i="9"/>
  <c r="P260" i="9"/>
  <c r="P101" i="9"/>
  <c r="P292" i="9"/>
  <c r="P261" i="9"/>
  <c r="P167" i="9"/>
  <c r="P62" i="9"/>
  <c r="P64" i="9"/>
  <c r="P146" i="9"/>
  <c r="P19" i="9"/>
  <c r="P169" i="9"/>
  <c r="P33" i="9"/>
  <c r="P67" i="9"/>
  <c r="P202" i="9"/>
  <c r="P301" i="9"/>
  <c r="P275" i="9"/>
  <c r="P248" i="9"/>
  <c r="P229" i="9"/>
  <c r="P26" i="9"/>
  <c r="P10" i="9"/>
  <c r="P139" i="9"/>
  <c r="P44" i="9"/>
  <c r="P219" i="9"/>
  <c r="P116" i="9"/>
  <c r="P35" i="9"/>
  <c r="P155" i="9"/>
  <c r="P54" i="9"/>
  <c r="P60" i="9"/>
  <c r="P224" i="9"/>
  <c r="P171" i="9"/>
  <c r="P208" i="9"/>
  <c r="P210" i="9"/>
  <c r="P9" i="9"/>
  <c r="P72" i="9"/>
  <c r="P213" i="9"/>
  <c r="P280" i="9"/>
  <c r="P282" i="9"/>
  <c r="P182" i="9"/>
  <c r="P184" i="9"/>
  <c r="P271" i="9"/>
  <c r="P286" i="9"/>
  <c r="P50" i="9"/>
  <c r="P51" i="9"/>
  <c r="P189" i="9"/>
  <c r="P190" i="9"/>
  <c r="P194" i="9"/>
  <c r="P12" i="9"/>
  <c r="P217" i="9"/>
  <c r="P113" i="9"/>
  <c r="P14" i="9"/>
  <c r="P143" i="9"/>
  <c r="P57" i="9"/>
  <c r="P173" i="9"/>
  <c r="P145" i="9"/>
  <c r="P16" i="9"/>
  <c r="P237" i="9"/>
  <c r="P83" i="9"/>
  <c r="P168" i="9"/>
  <c r="P124" i="9"/>
  <c r="P251" i="9"/>
  <c r="P34" i="9"/>
  <c r="P225" i="9"/>
  <c r="P264" i="9"/>
  <c r="P249" i="9"/>
  <c r="P276" i="9"/>
  <c r="P21" i="9"/>
  <c r="P235" i="9"/>
  <c r="P27" i="9"/>
  <c r="P47" i="9"/>
  <c r="P53" i="9"/>
  <c r="P58" i="9"/>
  <c r="P104" i="9"/>
  <c r="P20" i="9"/>
  <c r="P302" i="9"/>
  <c r="P188" i="9"/>
  <c r="P267" i="9"/>
  <c r="P220" i="9"/>
  <c r="P125" i="9"/>
  <c r="P175" i="9"/>
  <c r="P70" i="9"/>
  <c r="P177" i="9"/>
  <c r="P279" i="9"/>
  <c r="P158" i="9"/>
  <c r="P92" i="9"/>
  <c r="P239" i="9"/>
  <c r="P132" i="9"/>
  <c r="P46" i="9"/>
  <c r="P185" i="9"/>
  <c r="P186" i="9"/>
  <c r="P74" i="9"/>
  <c r="P288" i="9"/>
  <c r="P111" i="9"/>
  <c r="P28" i="9"/>
  <c r="P191" i="9"/>
  <c r="P90" i="9"/>
  <c r="P243" i="9"/>
  <c r="P221" i="9"/>
  <c r="P141" i="9"/>
  <c r="P55" i="9"/>
  <c r="P144" i="9"/>
  <c r="P196" i="9"/>
  <c r="P89" i="9"/>
  <c r="P166" i="9"/>
  <c r="P293" i="9"/>
  <c r="P81" i="9"/>
  <c r="P84" i="9"/>
  <c r="P105" i="9"/>
  <c r="P263" i="9"/>
  <c r="P297" i="9"/>
  <c r="P148" i="9"/>
  <c r="P201" i="9"/>
  <c r="P150" i="9"/>
  <c r="P226" i="9"/>
  <c r="P304" i="9"/>
  <c r="P88" i="9"/>
  <c r="P40" i="9"/>
  <c r="P23" i="9"/>
  <c r="P108" i="9"/>
  <c r="P277" i="9"/>
  <c r="P127" i="9"/>
  <c r="P254" i="9"/>
  <c r="P281" i="9"/>
  <c r="P160" i="9"/>
  <c r="P240" i="9"/>
  <c r="P11" i="9"/>
  <c r="P187" i="9"/>
  <c r="P98" i="9"/>
  <c r="P142" i="9"/>
  <c r="P82" i="9"/>
  <c r="P298" i="9"/>
  <c r="N24" i="45" l="1"/>
  <c r="N26" i="45" s="1"/>
  <c r="R243" i="9"/>
  <c r="S243" i="9" s="1"/>
  <c r="R280" i="9"/>
  <c r="S280" i="9" s="1"/>
  <c r="R205" i="9"/>
  <c r="S205" i="9" s="1"/>
  <c r="R299" i="9"/>
  <c r="S299" i="9" s="1"/>
  <c r="R46" i="9"/>
  <c r="S46" i="9" s="1"/>
  <c r="R191" i="9"/>
  <c r="S191" i="9" s="1"/>
  <c r="R196" i="9"/>
  <c r="S196" i="9" s="1"/>
  <c r="R298" i="9"/>
  <c r="S298" i="9" s="1"/>
  <c r="R281" i="9"/>
  <c r="S281" i="9" s="1"/>
  <c r="R40" i="9"/>
  <c r="S40" i="9" s="1"/>
  <c r="R263" i="9"/>
  <c r="S263" i="9" s="1"/>
  <c r="R144" i="9"/>
  <c r="S144" i="9" s="1"/>
  <c r="R111" i="9"/>
  <c r="S111" i="9" s="1"/>
  <c r="R92" i="9"/>
  <c r="S92" i="9" s="1"/>
  <c r="R104" i="9"/>
  <c r="S104" i="9" s="1"/>
  <c r="R249" i="9"/>
  <c r="S249" i="9" s="1"/>
  <c r="R237" i="9"/>
  <c r="S237" i="9" s="1"/>
  <c r="R217" i="9"/>
  <c r="S217" i="9" s="1"/>
  <c r="R271" i="9"/>
  <c r="S271" i="9" s="1"/>
  <c r="R210" i="9"/>
  <c r="S210" i="9" s="1"/>
  <c r="R155" i="9"/>
  <c r="S155" i="9" s="1"/>
  <c r="R229" i="9"/>
  <c r="S229" i="9" s="1"/>
  <c r="R19" i="9"/>
  <c r="S19" i="9" s="1"/>
  <c r="R260" i="9"/>
  <c r="S260" i="9" s="1"/>
  <c r="R138" i="9"/>
  <c r="S138" i="9" s="1"/>
  <c r="R73" i="9"/>
  <c r="S73" i="9" s="1"/>
  <c r="R85" i="9"/>
  <c r="S85" i="9" s="1"/>
  <c r="R157" i="9"/>
  <c r="S157" i="9" s="1"/>
  <c r="R247" i="9"/>
  <c r="S247" i="9" s="1"/>
  <c r="R18" i="9"/>
  <c r="S18" i="9" s="1"/>
  <c r="R238" i="9"/>
  <c r="S238" i="9" s="1"/>
  <c r="R241" i="9"/>
  <c r="S241" i="9" s="1"/>
  <c r="R24" i="9"/>
  <c r="S24" i="9" s="1"/>
  <c r="R161" i="9"/>
  <c r="S161" i="9" s="1"/>
  <c r="R154" i="9"/>
  <c r="S154" i="9" s="1"/>
  <c r="R223" i="9"/>
  <c r="S223" i="9" s="1"/>
  <c r="R164" i="9"/>
  <c r="S164" i="9" s="1"/>
  <c r="R75" i="9"/>
  <c r="S75" i="9" s="1"/>
  <c r="R43" i="9"/>
  <c r="S43" i="9" s="1"/>
  <c r="R203" i="9"/>
  <c r="S203" i="9" s="1"/>
  <c r="R79" i="9"/>
  <c r="S79" i="9" s="1"/>
  <c r="R246" i="9"/>
  <c r="S246" i="9" s="1"/>
  <c r="R294" i="9"/>
  <c r="S294" i="9" s="1"/>
  <c r="R272" i="9"/>
  <c r="S272" i="9" s="1"/>
  <c r="R230" i="9"/>
  <c r="S230" i="9" s="1"/>
  <c r="R37" i="9"/>
  <c r="S37" i="9" s="1"/>
  <c r="R70" i="9"/>
  <c r="S70" i="9" s="1"/>
  <c r="R44" i="9"/>
  <c r="S44" i="9" s="1"/>
  <c r="R233" i="9"/>
  <c r="S233" i="9" s="1"/>
  <c r="R15" i="9"/>
  <c r="S15" i="9" s="1"/>
  <c r="R119" i="9"/>
  <c r="S119" i="9" s="1"/>
  <c r="R201" i="9"/>
  <c r="S201" i="9" s="1"/>
  <c r="R82" i="9"/>
  <c r="S82" i="9" s="1"/>
  <c r="R254" i="9"/>
  <c r="S254" i="9" s="1"/>
  <c r="R88" i="9"/>
  <c r="S88" i="9" s="1"/>
  <c r="R105" i="9"/>
  <c r="S105" i="9" s="1"/>
  <c r="R55" i="9"/>
  <c r="S55" i="9" s="1"/>
  <c r="R288" i="9"/>
  <c r="S288" i="9" s="1"/>
  <c r="R158" i="9"/>
  <c r="S158" i="9" s="1"/>
  <c r="R58" i="9"/>
  <c r="S58" i="9" s="1"/>
  <c r="R264" i="9"/>
  <c r="S264" i="9" s="1"/>
  <c r="R16" i="9"/>
  <c r="S16" i="9" s="1"/>
  <c r="R12" i="9"/>
  <c r="S12" i="9" s="1"/>
  <c r="R184" i="9"/>
  <c r="S184" i="9" s="1"/>
  <c r="R208" i="9"/>
  <c r="S208" i="9" s="1"/>
  <c r="R35" i="9"/>
  <c r="S35" i="9" s="1"/>
  <c r="R248" i="9"/>
  <c r="S248" i="9" s="1"/>
  <c r="R146" i="9"/>
  <c r="S146" i="9" s="1"/>
  <c r="R215" i="9"/>
  <c r="S215" i="9" s="1"/>
  <c r="R136" i="9"/>
  <c r="S136" i="9" s="1"/>
  <c r="R179" i="9"/>
  <c r="S179" i="9" s="1"/>
  <c r="R102" i="9"/>
  <c r="S102" i="9" s="1"/>
  <c r="R162" i="9"/>
  <c r="S162" i="9" s="1"/>
  <c r="R170" i="9"/>
  <c r="S170" i="9" s="1"/>
  <c r="R197" i="9"/>
  <c r="S197" i="9" s="1"/>
  <c r="R100" i="9"/>
  <c r="S100" i="9" s="1"/>
  <c r="R134" i="9"/>
  <c r="S134" i="9" s="1"/>
  <c r="R253" i="9"/>
  <c r="S253" i="9" s="1"/>
  <c r="R107" i="9"/>
  <c r="S107" i="9" s="1"/>
  <c r="R152" i="9"/>
  <c r="S152" i="9" s="1"/>
  <c r="R198" i="9"/>
  <c r="S198" i="9" s="1"/>
  <c r="R114" i="9"/>
  <c r="S114" i="9" s="1"/>
  <c r="R287" i="9"/>
  <c r="S287" i="9" s="1"/>
  <c r="R178" i="9"/>
  <c r="S178" i="9" s="1"/>
  <c r="R65" i="9"/>
  <c r="S65" i="9" s="1"/>
  <c r="R94" i="9"/>
  <c r="S94" i="9" s="1"/>
  <c r="R68" i="9"/>
  <c r="S68" i="9" s="1"/>
  <c r="R103" i="9"/>
  <c r="S103" i="9" s="1"/>
  <c r="R242" i="9"/>
  <c r="S242" i="9" s="1"/>
  <c r="R120" i="9"/>
  <c r="S120" i="9" s="1"/>
  <c r="R207" i="9"/>
  <c r="S207" i="9" s="1"/>
  <c r="R187" i="9"/>
  <c r="S187" i="9" s="1"/>
  <c r="R27" i="9"/>
  <c r="S27" i="9" s="1"/>
  <c r="R167" i="9"/>
  <c r="S167" i="9" s="1"/>
  <c r="R131" i="9"/>
  <c r="S131" i="9" s="1"/>
  <c r="R265" i="9"/>
  <c r="S265" i="9" s="1"/>
  <c r="R11" i="9"/>
  <c r="S11" i="9" s="1"/>
  <c r="R240" i="9"/>
  <c r="S240" i="9" s="1"/>
  <c r="R160" i="9"/>
  <c r="S160" i="9" s="1"/>
  <c r="R28" i="9"/>
  <c r="S28" i="9" s="1"/>
  <c r="R142" i="9"/>
  <c r="S142" i="9" s="1"/>
  <c r="R127" i="9"/>
  <c r="S127" i="9" s="1"/>
  <c r="R304" i="9"/>
  <c r="S304" i="9" s="1"/>
  <c r="R84" i="9"/>
  <c r="S84" i="9" s="1"/>
  <c r="R141" i="9"/>
  <c r="S141" i="9" s="1"/>
  <c r="R74" i="9"/>
  <c r="S74" i="9" s="1"/>
  <c r="R279" i="9"/>
  <c r="S279" i="9" s="1"/>
  <c r="R125" i="9"/>
  <c r="S125" i="9" s="1"/>
  <c r="R53" i="9"/>
  <c r="S53" i="9" s="1"/>
  <c r="R225" i="9"/>
  <c r="S225" i="9" s="1"/>
  <c r="R145" i="9"/>
  <c r="S145" i="9" s="1"/>
  <c r="R194" i="9"/>
  <c r="S194" i="9" s="1"/>
  <c r="R182" i="9"/>
  <c r="S182" i="9" s="1"/>
  <c r="R116" i="9"/>
  <c r="S116" i="9" s="1"/>
  <c r="R275" i="9"/>
  <c r="S275" i="9" s="1"/>
  <c r="R64" i="9"/>
  <c r="S64" i="9" s="1"/>
  <c r="R206" i="9"/>
  <c r="S206" i="9" s="1"/>
  <c r="R48" i="9"/>
  <c r="S48" i="9" s="1"/>
  <c r="R41" i="9"/>
  <c r="S41" i="9" s="1"/>
  <c r="R199" i="9"/>
  <c r="S199" i="9" s="1"/>
  <c r="R45" i="9"/>
  <c r="S45" i="9" s="1"/>
  <c r="R126" i="9"/>
  <c r="S126" i="9" s="1"/>
  <c r="R61" i="9"/>
  <c r="S61" i="9" s="1"/>
  <c r="R192" i="9"/>
  <c r="S192" i="9" s="1"/>
  <c r="R284" i="9"/>
  <c r="S284" i="9" s="1"/>
  <c r="R80" i="9"/>
  <c r="S80" i="9" s="1"/>
  <c r="R228" i="9"/>
  <c r="S228" i="9" s="1"/>
  <c r="R245" i="9"/>
  <c r="S245" i="9" s="1"/>
  <c r="R274" i="9"/>
  <c r="S274" i="9" s="1"/>
  <c r="R285" i="9"/>
  <c r="S285" i="9" s="1"/>
  <c r="R71" i="9"/>
  <c r="S71" i="9" s="1"/>
  <c r="R122" i="9"/>
  <c r="S122" i="9" s="1"/>
  <c r="R130" i="9"/>
  <c r="S130" i="9" s="1"/>
  <c r="R149" i="9"/>
  <c r="S149" i="9" s="1"/>
  <c r="R232" i="9"/>
  <c r="S232" i="9" s="1"/>
  <c r="R259" i="9"/>
  <c r="S259" i="9" s="1"/>
  <c r="R214" i="9"/>
  <c r="S214" i="9" s="1"/>
  <c r="R293" i="9"/>
  <c r="S293" i="9" s="1"/>
  <c r="R189" i="9"/>
  <c r="S189" i="9" s="1"/>
  <c r="R174" i="9"/>
  <c r="S174" i="9" s="1"/>
  <c r="R39" i="9"/>
  <c r="S39" i="9" s="1"/>
  <c r="R98" i="9"/>
  <c r="S98" i="9" s="1"/>
  <c r="R277" i="9"/>
  <c r="S277" i="9" s="1"/>
  <c r="R226" i="9"/>
  <c r="S226" i="9" s="1"/>
  <c r="R81" i="9"/>
  <c r="S81" i="9" s="1"/>
  <c r="R221" i="9"/>
  <c r="S221" i="9" s="1"/>
  <c r="R186" i="9"/>
  <c r="S186" i="9" s="1"/>
  <c r="R177" i="9"/>
  <c r="S177" i="9" s="1"/>
  <c r="R220" i="9"/>
  <c r="S220" i="9" s="1"/>
  <c r="R47" i="9"/>
  <c r="S47" i="9" s="1"/>
  <c r="R34" i="9"/>
  <c r="S34" i="9" s="1"/>
  <c r="R173" i="9"/>
  <c r="S173" i="9" s="1"/>
  <c r="R190" i="9"/>
  <c r="S190" i="9" s="1"/>
  <c r="R282" i="9"/>
  <c r="S282" i="9" s="1"/>
  <c r="R219" i="9"/>
  <c r="S219" i="9" s="1"/>
  <c r="R301" i="9"/>
  <c r="S301" i="9" s="1"/>
  <c r="R62" i="9"/>
  <c r="S62" i="9" s="1"/>
  <c r="R112" i="9"/>
  <c r="S112" i="9" s="1"/>
  <c r="R270" i="9"/>
  <c r="S270" i="9" s="1"/>
  <c r="R176" i="9"/>
  <c r="S176" i="9" s="1"/>
  <c r="R289" i="9"/>
  <c r="S289" i="9" s="1"/>
  <c r="R211" i="9"/>
  <c r="S211" i="9" s="1"/>
  <c r="R106" i="9"/>
  <c r="S106" i="9" s="1"/>
  <c r="R291" i="9"/>
  <c r="S291" i="9" s="1"/>
  <c r="R97" i="9"/>
  <c r="S97" i="9" s="1"/>
  <c r="R180" i="9"/>
  <c r="S180" i="9" s="1"/>
  <c r="R13" i="9"/>
  <c r="S13" i="9" s="1"/>
  <c r="R300" i="9"/>
  <c r="S300" i="9" s="1"/>
  <c r="R17" i="9"/>
  <c r="S17" i="9" s="1"/>
  <c r="R236" i="9"/>
  <c r="S236" i="9" s="1"/>
  <c r="R95" i="9"/>
  <c r="S95" i="9" s="1"/>
  <c r="R209" i="9"/>
  <c r="S209" i="9" s="1"/>
  <c r="R52" i="9"/>
  <c r="S52" i="9" s="1"/>
  <c r="R307" i="9"/>
  <c r="S307" i="9" s="1"/>
  <c r="R86" i="9"/>
  <c r="S86" i="9" s="1"/>
  <c r="R59" i="9"/>
  <c r="S59" i="9" s="1"/>
  <c r="R78" i="9"/>
  <c r="S78" i="9" s="1"/>
  <c r="R269" i="9"/>
  <c r="S269" i="9" s="1"/>
  <c r="R267" i="9"/>
  <c r="S267" i="9" s="1"/>
  <c r="R202" i="9"/>
  <c r="S202" i="9" s="1"/>
  <c r="R290" i="9"/>
  <c r="S290" i="9" s="1"/>
  <c r="R133" i="9"/>
  <c r="S133" i="9" s="1"/>
  <c r="R258" i="9"/>
  <c r="S258" i="9" s="1"/>
  <c r="R150" i="9"/>
  <c r="S150" i="9" s="1"/>
  <c r="R57" i="9"/>
  <c r="S57" i="9" s="1"/>
  <c r="R183" i="9"/>
  <c r="S183" i="9" s="1"/>
  <c r="R303" i="9"/>
  <c r="S303" i="9" s="1"/>
  <c r="R306" i="9"/>
  <c r="S306" i="9" s="1"/>
  <c r="R23" i="9"/>
  <c r="S23" i="9" s="1"/>
  <c r="R188" i="9"/>
  <c r="S188" i="9" s="1"/>
  <c r="R235" i="9"/>
  <c r="S235" i="9" s="1"/>
  <c r="R124" i="9"/>
  <c r="S124" i="9" s="1"/>
  <c r="R143" i="9"/>
  <c r="S143" i="9" s="1"/>
  <c r="R51" i="9"/>
  <c r="S51" i="9" s="1"/>
  <c r="R213" i="9"/>
  <c r="S213" i="9" s="1"/>
  <c r="R224" i="9"/>
  <c r="S224" i="9" s="1"/>
  <c r="R139" i="9"/>
  <c r="S139" i="9" s="1"/>
  <c r="R67" i="9"/>
  <c r="S67" i="9" s="1"/>
  <c r="R261" i="9"/>
  <c r="S261" i="9" s="1"/>
  <c r="R193" i="9"/>
  <c r="S193" i="9" s="1"/>
  <c r="R109" i="9"/>
  <c r="S109" i="9" s="1"/>
  <c r="R252" i="9"/>
  <c r="S252" i="9" s="1"/>
  <c r="R305" i="9"/>
  <c r="S305" i="9" s="1"/>
  <c r="R118" i="9"/>
  <c r="S118" i="9" s="1"/>
  <c r="R165" i="9"/>
  <c r="S165" i="9" s="1"/>
  <c r="R137" i="9"/>
  <c r="S137" i="9" s="1"/>
  <c r="R129" i="9"/>
  <c r="S129" i="9" s="1"/>
  <c r="R123" i="9"/>
  <c r="S123" i="9" s="1"/>
  <c r="R38" i="9"/>
  <c r="S38" i="9" s="1"/>
  <c r="R36" i="9"/>
  <c r="S36" i="9" s="1"/>
  <c r="R273" i="9"/>
  <c r="R29" i="9"/>
  <c r="S29" i="9" s="1"/>
  <c r="R283" i="9"/>
  <c r="S283" i="9" s="1"/>
  <c r="R234" i="9"/>
  <c r="S234" i="9" s="1"/>
  <c r="R69" i="9"/>
  <c r="S69" i="9" s="1"/>
  <c r="R117" i="9"/>
  <c r="S117" i="9" s="1"/>
  <c r="R30" i="9"/>
  <c r="S30" i="9" s="1"/>
  <c r="R257" i="9"/>
  <c r="S257" i="9" s="1"/>
  <c r="R42" i="9"/>
  <c r="S42" i="9" s="1"/>
  <c r="Q8" i="9"/>
  <c r="AB308" i="53"/>
  <c r="R108" i="9"/>
  <c r="S108" i="9" s="1"/>
  <c r="R251" i="9"/>
  <c r="S251" i="9" s="1"/>
  <c r="R195" i="9"/>
  <c r="S195" i="9" s="1"/>
  <c r="R77" i="9"/>
  <c r="S77" i="9" s="1"/>
  <c r="P8" i="9"/>
  <c r="AA308" i="53"/>
  <c r="R255" i="9"/>
  <c r="S255" i="9" s="1"/>
  <c r="R90" i="9"/>
  <c r="S90" i="9" s="1"/>
  <c r="R89" i="9"/>
  <c r="S89" i="9" s="1"/>
  <c r="R132" i="9"/>
  <c r="S132" i="9" s="1"/>
  <c r="R302" i="9"/>
  <c r="S302" i="9" s="1"/>
  <c r="R21" i="9"/>
  <c r="S21" i="9" s="1"/>
  <c r="R168" i="9"/>
  <c r="S168" i="9" s="1"/>
  <c r="R14" i="9"/>
  <c r="S14" i="9" s="1"/>
  <c r="R50" i="9"/>
  <c r="S50" i="9" s="1"/>
  <c r="R72" i="9"/>
  <c r="S72" i="9" s="1"/>
  <c r="R60" i="9"/>
  <c r="S60" i="9" s="1"/>
  <c r="R10" i="9"/>
  <c r="S10" i="9" s="1"/>
  <c r="R33" i="9"/>
  <c r="S33" i="9" s="1"/>
  <c r="R292" i="9"/>
  <c r="S292" i="9" s="1"/>
  <c r="R121" i="9"/>
  <c r="S121" i="9" s="1"/>
  <c r="R181" i="9"/>
  <c r="S181" i="9" s="1"/>
  <c r="R295" i="9"/>
  <c r="S295" i="9" s="1"/>
  <c r="R153" i="9"/>
  <c r="S153" i="9" s="1"/>
  <c r="R222" i="9"/>
  <c r="S222" i="9" s="1"/>
  <c r="R204" i="9"/>
  <c r="S204" i="9" s="1"/>
  <c r="R135" i="9"/>
  <c r="S135" i="9" s="1"/>
  <c r="R91" i="9"/>
  <c r="S91" i="9" s="1"/>
  <c r="R244" i="9"/>
  <c r="S244" i="9" s="1"/>
  <c r="R93" i="9"/>
  <c r="S93" i="9" s="1"/>
  <c r="R200" i="9"/>
  <c r="S200" i="9" s="1"/>
  <c r="R32" i="9"/>
  <c r="S32" i="9" s="1"/>
  <c r="R96" i="9"/>
  <c r="S96" i="9" s="1"/>
  <c r="R250" i="9"/>
  <c r="S250" i="9" s="1"/>
  <c r="R262" i="9"/>
  <c r="S262" i="9" s="1"/>
  <c r="R87" i="9"/>
  <c r="S87" i="9" s="1"/>
  <c r="R296" i="9"/>
  <c r="S296" i="9" s="1"/>
  <c r="R268" i="9"/>
  <c r="S268" i="9" s="1"/>
  <c r="R49" i="9"/>
  <c r="S49" i="9" s="1"/>
  <c r="R212" i="9"/>
  <c r="S212" i="9" s="1"/>
  <c r="R185" i="9"/>
  <c r="S185" i="9" s="1"/>
  <c r="R171" i="9"/>
  <c r="S171" i="9" s="1"/>
  <c r="R22" i="9"/>
  <c r="S22" i="9" s="1"/>
  <c r="R99" i="9"/>
  <c r="S99" i="9" s="1"/>
  <c r="R231" i="9"/>
  <c r="S231" i="9" s="1"/>
  <c r="R166" i="9"/>
  <c r="S166" i="9" s="1"/>
  <c r="R148" i="9"/>
  <c r="S148" i="9" s="1"/>
  <c r="R297" i="9"/>
  <c r="S297" i="9" s="1"/>
  <c r="R239" i="9"/>
  <c r="S239" i="9" s="1"/>
  <c r="R175" i="9"/>
  <c r="S175" i="9" s="1"/>
  <c r="R20" i="9"/>
  <c r="S20" i="9" s="1"/>
  <c r="R276" i="9"/>
  <c r="S276" i="9" s="1"/>
  <c r="R83" i="9"/>
  <c r="S83" i="9" s="1"/>
  <c r="R113" i="9"/>
  <c r="S113" i="9" s="1"/>
  <c r="R286" i="9"/>
  <c r="S286" i="9" s="1"/>
  <c r="R9" i="9"/>
  <c r="S9" i="9" s="1"/>
  <c r="R54" i="9"/>
  <c r="S54" i="9" s="1"/>
  <c r="R26" i="9"/>
  <c r="S26" i="9" s="1"/>
  <c r="R169" i="9"/>
  <c r="S169" i="9" s="1"/>
  <c r="R101" i="9"/>
  <c r="S101" i="9" s="1"/>
  <c r="R140" i="9"/>
  <c r="S140" i="9" s="1"/>
  <c r="R159" i="9"/>
  <c r="S159" i="9" s="1"/>
  <c r="R172" i="9"/>
  <c r="S172" i="9" s="1"/>
  <c r="R218" i="9"/>
  <c r="S218" i="9" s="1"/>
  <c r="R151" i="9"/>
  <c r="S151" i="9" s="1"/>
  <c r="R63" i="9"/>
  <c r="S63" i="9" s="1"/>
  <c r="R266" i="9"/>
  <c r="S266" i="9" s="1"/>
  <c r="R216" i="9"/>
  <c r="S216" i="9" s="1"/>
  <c r="R25" i="9"/>
  <c r="S25" i="9" s="1"/>
  <c r="R163" i="9"/>
  <c r="S163" i="9" s="1"/>
  <c r="R128" i="9"/>
  <c r="S128" i="9" s="1"/>
  <c r="R147" i="9"/>
  <c r="S147" i="9" s="1"/>
  <c r="R31" i="9"/>
  <c r="S31" i="9" s="1"/>
  <c r="R76" i="9"/>
  <c r="S76" i="9" s="1"/>
  <c r="R256" i="9"/>
  <c r="S256" i="9" s="1"/>
  <c r="R156" i="9"/>
  <c r="S156" i="9" s="1"/>
  <c r="R56" i="9"/>
  <c r="S56" i="9" s="1"/>
  <c r="R227" i="9"/>
  <c r="S227" i="9" s="1"/>
  <c r="R115" i="9"/>
  <c r="S115" i="9" s="1"/>
  <c r="R66" i="9"/>
  <c r="S66" i="9" s="1"/>
  <c r="R110" i="9"/>
  <c r="S110" i="9" s="1"/>
  <c r="R278" i="9"/>
  <c r="S278" i="9" s="1"/>
  <c r="Q308" i="9" l="1"/>
  <c r="S273" i="9"/>
  <c r="R8" i="9"/>
  <c r="P308" i="9"/>
  <c r="S8" i="9" l="1"/>
  <c r="S308" i="9" s="1"/>
  <c r="R308" i="9"/>
  <c r="V4" i="9" s="1"/>
  <c r="T114" i="9" l="1"/>
  <c r="U114" i="9" s="1"/>
  <c r="T238" i="9"/>
  <c r="U238" i="9" s="1"/>
  <c r="T261" i="9"/>
  <c r="U261" i="9" s="1"/>
  <c r="T258" i="9"/>
  <c r="U258" i="9" s="1"/>
  <c r="T112" i="9"/>
  <c r="U112" i="9" s="1"/>
  <c r="T212" i="9"/>
  <c r="U212" i="9" s="1"/>
  <c r="T61" i="9"/>
  <c r="U61" i="9" s="1"/>
  <c r="T26" i="9"/>
  <c r="U26" i="9" s="1"/>
  <c r="T138" i="9"/>
  <c r="U138" i="9" s="1"/>
  <c r="T43" i="9"/>
  <c r="U43" i="9" s="1"/>
  <c r="T140" i="9"/>
  <c r="U140" i="9" s="1"/>
  <c r="T14" i="9"/>
  <c r="U14" i="9" s="1"/>
  <c r="T150" i="9"/>
  <c r="U150" i="9" s="1"/>
  <c r="T207" i="9"/>
  <c r="U207" i="9" s="1"/>
  <c r="T292" i="9"/>
  <c r="U292" i="9" s="1"/>
  <c r="T164" i="9"/>
  <c r="U164" i="9" s="1"/>
  <c r="T147" i="9"/>
  <c r="U147" i="9" s="1"/>
  <c r="T113" i="9"/>
  <c r="U113" i="9" s="1"/>
  <c r="T270" i="9"/>
  <c r="U270" i="9" s="1"/>
  <c r="T202" i="9"/>
  <c r="U202" i="9" s="1"/>
  <c r="T72" i="9"/>
  <c r="U72" i="9" s="1"/>
  <c r="T286" i="9"/>
  <c r="U286" i="9" s="1"/>
  <c r="T123" i="9"/>
  <c r="U123" i="9" s="1"/>
  <c r="T251" i="9"/>
  <c r="U251" i="9" s="1"/>
  <c r="T161" i="9"/>
  <c r="U161" i="9" s="1"/>
  <c r="T119" i="9"/>
  <c r="U119" i="9" s="1"/>
  <c r="T130" i="9"/>
  <c r="U130" i="9" s="1"/>
  <c r="T148" i="9"/>
  <c r="U148" i="9" s="1"/>
  <c r="T284" i="9"/>
  <c r="U284" i="9" s="1"/>
  <c r="T195" i="9"/>
  <c r="U195" i="9" s="1"/>
  <c r="T48" i="9"/>
  <c r="U48" i="9" s="1"/>
  <c r="T83" i="9"/>
  <c r="U83" i="9" s="1"/>
  <c r="T107" i="9"/>
  <c r="U107" i="9" s="1"/>
  <c r="T57" i="9"/>
  <c r="U57" i="9" s="1"/>
  <c r="T168" i="9"/>
  <c r="U168" i="9" s="1"/>
  <c r="T18" i="9"/>
  <c r="U18" i="9" s="1"/>
  <c r="T205" i="9"/>
  <c r="U205" i="9" s="1"/>
  <c r="T185" i="9"/>
  <c r="U185" i="9" s="1"/>
  <c r="T105" i="9"/>
  <c r="U105" i="9" s="1"/>
  <c r="T303" i="9"/>
  <c r="U303" i="9" s="1"/>
  <c r="T53" i="9"/>
  <c r="U53" i="9" s="1"/>
  <c r="T215" i="9"/>
  <c r="U215" i="9" s="1"/>
  <c r="T225" i="9"/>
  <c r="U225" i="9" s="1"/>
  <c r="T283" i="9"/>
  <c r="U283" i="9" s="1"/>
  <c r="T137" i="9"/>
  <c r="U137" i="9" s="1"/>
  <c r="T246" i="9"/>
  <c r="U246" i="9" s="1"/>
  <c r="T278" i="9"/>
  <c r="U278" i="9" s="1"/>
  <c r="T117" i="9"/>
  <c r="U117" i="9" s="1"/>
  <c r="T59" i="9"/>
  <c r="U59" i="9" s="1"/>
  <c r="T267" i="9"/>
  <c r="U267" i="9" s="1"/>
  <c r="T156" i="9"/>
  <c r="U156" i="9" s="1"/>
  <c r="T124" i="9"/>
  <c r="U124" i="9" s="1"/>
  <c r="T25" i="9"/>
  <c r="U25" i="9" s="1"/>
  <c r="T151" i="9"/>
  <c r="U151" i="9" s="1"/>
  <c r="T266" i="9"/>
  <c r="U266" i="9" s="1"/>
  <c r="T109" i="9"/>
  <c r="U109" i="9" s="1"/>
  <c r="T222" i="9"/>
  <c r="U222" i="9" s="1"/>
  <c r="T211" i="9"/>
  <c r="U211" i="9" s="1"/>
  <c r="T55" i="9"/>
  <c r="U55" i="9" s="1"/>
  <c r="T264" i="9"/>
  <c r="U264" i="9" s="1"/>
  <c r="T99" i="9"/>
  <c r="U99" i="9" s="1"/>
  <c r="T11" i="9"/>
  <c r="U11" i="9" s="1"/>
  <c r="T243" i="9"/>
  <c r="U243" i="9" s="1"/>
  <c r="T143" i="9"/>
  <c r="U143" i="9" s="1"/>
  <c r="T20" i="9"/>
  <c r="U20" i="9" s="1"/>
  <c r="T187" i="9"/>
  <c r="U187" i="9" s="1"/>
  <c r="T44" i="9"/>
  <c r="U44" i="9" s="1"/>
  <c r="T127" i="9"/>
  <c r="U127" i="9" s="1"/>
  <c r="T149" i="9"/>
  <c r="U149" i="9" s="1"/>
  <c r="T24" i="9"/>
  <c r="U24" i="9" s="1"/>
  <c r="T232" i="9"/>
  <c r="U232" i="9" s="1"/>
  <c r="T196" i="9"/>
  <c r="U196" i="9" s="1"/>
  <c r="T87" i="9"/>
  <c r="U87" i="9" s="1"/>
  <c r="T157" i="9"/>
  <c r="U157" i="9" s="1"/>
  <c r="T234" i="9"/>
  <c r="U234" i="9" s="1"/>
  <c r="T167" i="9"/>
  <c r="U167" i="9" s="1"/>
  <c r="T16" i="9"/>
  <c r="U16" i="9" s="1"/>
  <c r="T93" i="9"/>
  <c r="U93" i="9" s="1"/>
  <c r="T192" i="9"/>
  <c r="U192" i="9" s="1"/>
  <c r="T260" i="9"/>
  <c r="U260" i="9" s="1"/>
  <c r="T204" i="9"/>
  <c r="U204" i="9" s="1"/>
  <c r="T134" i="9"/>
  <c r="U134" i="9" s="1"/>
  <c r="T227" i="9"/>
  <c r="U227" i="9" s="1"/>
  <c r="T184" i="9"/>
  <c r="U184" i="9" s="1"/>
  <c r="T118" i="9"/>
  <c r="U118" i="9" s="1"/>
  <c r="T86" i="9"/>
  <c r="U86" i="9" s="1"/>
  <c r="T208" i="9"/>
  <c r="U208" i="9" s="1"/>
  <c r="T160" i="9"/>
  <c r="U160" i="9" s="1"/>
  <c r="T257" i="9"/>
  <c r="U257" i="9" s="1"/>
  <c r="T80" i="9"/>
  <c r="U80" i="9" s="1"/>
  <c r="T237" i="9"/>
  <c r="U237" i="9" s="1"/>
  <c r="T122" i="9"/>
  <c r="U122" i="9" s="1"/>
  <c r="T68" i="9"/>
  <c r="U68" i="9" s="1"/>
  <c r="T194" i="9"/>
  <c r="U194" i="9" s="1"/>
  <c r="T100" i="9"/>
  <c r="U100" i="9" s="1"/>
  <c r="T63" i="9"/>
  <c r="U63" i="9" s="1"/>
  <c r="T298" i="9"/>
  <c r="U298" i="9" s="1"/>
  <c r="T275" i="9"/>
  <c r="U275" i="9" s="1"/>
  <c r="T145" i="9"/>
  <c r="U145" i="9" s="1"/>
  <c r="T226" i="9"/>
  <c r="U226" i="9" s="1"/>
  <c r="T73" i="9"/>
  <c r="U73" i="9" s="1"/>
  <c r="T239" i="9"/>
  <c r="U239" i="9" s="1"/>
  <c r="T304" i="9"/>
  <c r="U304" i="9" s="1"/>
  <c r="T110" i="9"/>
  <c r="U110" i="9" s="1"/>
  <c r="T166" i="9"/>
  <c r="U166" i="9" s="1"/>
  <c r="T254" i="9"/>
  <c r="U254" i="9" s="1"/>
  <c r="T46" i="9"/>
  <c r="U46" i="9" s="1"/>
  <c r="T85" i="9"/>
  <c r="U85" i="9" s="1"/>
  <c r="T294" i="9"/>
  <c r="U294" i="9" s="1"/>
  <c r="T115" i="9"/>
  <c r="U115" i="9" s="1"/>
  <c r="T276" i="9"/>
  <c r="U276" i="9" s="1"/>
  <c r="T158" i="9"/>
  <c r="U158" i="9" s="1"/>
  <c r="T81" i="9"/>
  <c r="U81" i="9" s="1"/>
  <c r="T125" i="9"/>
  <c r="U125" i="9" s="1"/>
  <c r="T96" i="9"/>
  <c r="U96" i="9" s="1"/>
  <c r="T52" i="9"/>
  <c r="U52" i="9" s="1"/>
  <c r="T92" i="9"/>
  <c r="U92" i="9" s="1"/>
  <c r="T41" i="9"/>
  <c r="U41" i="9" s="1"/>
  <c r="T38" i="9"/>
  <c r="U38" i="9" s="1"/>
  <c r="T271" i="9"/>
  <c r="U271" i="9" s="1"/>
  <c r="T22" i="9"/>
  <c r="U22" i="9" s="1"/>
  <c r="T248" i="9"/>
  <c r="U248" i="9" s="1"/>
  <c r="T8" i="9"/>
  <c r="T139" i="9"/>
  <c r="U139" i="9" s="1"/>
  <c r="T10" i="9"/>
  <c r="U10" i="9" s="1"/>
  <c r="T144" i="9"/>
  <c r="U144" i="9" s="1"/>
  <c r="T209" i="9"/>
  <c r="U209" i="9" s="1"/>
  <c r="T62" i="9"/>
  <c r="U62" i="9" s="1"/>
  <c r="T37" i="9"/>
  <c r="U37" i="9" s="1"/>
  <c r="T172" i="9"/>
  <c r="U172" i="9" s="1"/>
  <c r="T141" i="9"/>
  <c r="U141" i="9" s="1"/>
  <c r="T245" i="9"/>
  <c r="U245" i="9" s="1"/>
  <c r="T306" i="9"/>
  <c r="U306" i="9" s="1"/>
  <c r="T154" i="9"/>
  <c r="U154" i="9" s="1"/>
  <c r="T216" i="9"/>
  <c r="U216" i="9" s="1"/>
  <c r="T219" i="9"/>
  <c r="U219" i="9" s="1"/>
  <c r="T289" i="9"/>
  <c r="U289" i="9" s="1"/>
  <c r="T198" i="9"/>
  <c r="U198" i="9" s="1"/>
  <c r="T51" i="9"/>
  <c r="U51" i="9" s="1"/>
  <c r="T111" i="9"/>
  <c r="U111" i="9" s="1"/>
  <c r="T98" i="9"/>
  <c r="U98" i="9" s="1"/>
  <c r="T95" i="9"/>
  <c r="U95" i="9" s="1"/>
  <c r="T252" i="9"/>
  <c r="U252" i="9" s="1"/>
  <c r="T295" i="9"/>
  <c r="U295" i="9" s="1"/>
  <c r="T240" i="9"/>
  <c r="U240" i="9" s="1"/>
  <c r="T84" i="9"/>
  <c r="U84" i="9" s="1"/>
  <c r="T181" i="9"/>
  <c r="U181" i="9" s="1"/>
  <c r="T262" i="9"/>
  <c r="U262" i="9" s="1"/>
  <c r="T71" i="9"/>
  <c r="U71" i="9" s="1"/>
  <c r="T77" i="9"/>
  <c r="U77" i="9" s="1"/>
  <c r="T50" i="9"/>
  <c r="U50" i="9" s="1"/>
  <c r="T176" i="9"/>
  <c r="U176" i="9" s="1"/>
  <c r="T203" i="9"/>
  <c r="U203" i="9" s="1"/>
  <c r="T129" i="9"/>
  <c r="U129" i="9" s="1"/>
  <c r="T74" i="9"/>
  <c r="U74" i="9" s="1"/>
  <c r="T214" i="9"/>
  <c r="U214" i="9" s="1"/>
  <c r="T173" i="9"/>
  <c r="U173" i="9" s="1"/>
  <c r="T39" i="9"/>
  <c r="U39" i="9" s="1"/>
  <c r="T102" i="9"/>
  <c r="U102" i="9" s="1"/>
  <c r="T221" i="9"/>
  <c r="U221" i="9" s="1"/>
  <c r="T256" i="9"/>
  <c r="U256" i="9" s="1"/>
  <c r="T242" i="9"/>
  <c r="U242" i="9" s="1"/>
  <c r="T34" i="9"/>
  <c r="U34" i="9" s="1"/>
  <c r="T273" i="9"/>
  <c r="U273" i="9" s="1"/>
  <c r="T27" i="9"/>
  <c r="U27" i="9" s="1"/>
  <c r="T76" i="9"/>
  <c r="U76" i="9" s="1"/>
  <c r="T235" i="9"/>
  <c r="U235" i="9" s="1"/>
  <c r="T188" i="9"/>
  <c r="U188" i="9" s="1"/>
  <c r="T255" i="9"/>
  <c r="U255" i="9" s="1"/>
  <c r="T263" i="9"/>
  <c r="U263" i="9" s="1"/>
  <c r="T179" i="9"/>
  <c r="U179" i="9" s="1"/>
  <c r="T131" i="9"/>
  <c r="U131" i="9" s="1"/>
  <c r="T128" i="9"/>
  <c r="U128" i="9" s="1"/>
  <c r="T162" i="9"/>
  <c r="U162" i="9" s="1"/>
  <c r="T228" i="9"/>
  <c r="U228" i="9" s="1"/>
  <c r="T297" i="9"/>
  <c r="U297" i="9" s="1"/>
  <c r="T42" i="9"/>
  <c r="U42" i="9" s="1"/>
  <c r="T155" i="9"/>
  <c r="U155" i="9" s="1"/>
  <c r="T106" i="9"/>
  <c r="U106" i="9" s="1"/>
  <c r="T33" i="9"/>
  <c r="U33" i="9" s="1"/>
  <c r="T274" i="9"/>
  <c r="U274" i="9" s="1"/>
  <c r="T171" i="9"/>
  <c r="U171" i="9" s="1"/>
  <c r="T200" i="9"/>
  <c r="U200" i="9" s="1"/>
  <c r="T300" i="9"/>
  <c r="U300" i="9" s="1"/>
  <c r="T197" i="9"/>
  <c r="U197" i="9" s="1"/>
  <c r="T66" i="9"/>
  <c r="U66" i="9" s="1"/>
  <c r="T233" i="9"/>
  <c r="U233" i="9" s="1"/>
  <c r="T88" i="9"/>
  <c r="U88" i="9" s="1"/>
  <c r="T31" i="9"/>
  <c r="U31" i="9" s="1"/>
  <c r="T199" i="9"/>
  <c r="U199" i="9" s="1"/>
  <c r="T29" i="9"/>
  <c r="U29" i="9" s="1"/>
  <c r="T56" i="9"/>
  <c r="U56" i="9" s="1"/>
  <c r="T182" i="9"/>
  <c r="U182" i="9" s="1"/>
  <c r="T223" i="9"/>
  <c r="U223" i="9" s="1"/>
  <c r="T104" i="9"/>
  <c r="U104" i="9" s="1"/>
  <c r="T265" i="9"/>
  <c r="U265" i="9" s="1"/>
  <c r="T82" i="9"/>
  <c r="U82" i="9" s="1"/>
  <c r="T170" i="9"/>
  <c r="U170" i="9" s="1"/>
  <c r="T224" i="9"/>
  <c r="U224" i="9" s="1"/>
  <c r="T191" i="9"/>
  <c r="U191" i="9" s="1"/>
  <c r="T121" i="9"/>
  <c r="U121" i="9" s="1"/>
  <c r="T19" i="9"/>
  <c r="U19" i="9" s="1"/>
  <c r="T165" i="9"/>
  <c r="U165" i="9" s="1"/>
  <c r="T183" i="9"/>
  <c r="U183" i="9" s="1"/>
  <c r="T279" i="9"/>
  <c r="U279" i="9" s="1"/>
  <c r="T280" i="9"/>
  <c r="U280" i="9" s="1"/>
  <c r="T305" i="9"/>
  <c r="U305" i="9" s="1"/>
  <c r="T91" i="9"/>
  <c r="U91" i="9" s="1"/>
  <c r="T201" i="9"/>
  <c r="U201" i="9" s="1"/>
  <c r="T35" i="9"/>
  <c r="U35" i="9" s="1"/>
  <c r="T47" i="9"/>
  <c r="U47" i="9" s="1"/>
  <c r="T177" i="9"/>
  <c r="U177" i="9" s="1"/>
  <c r="T58" i="9"/>
  <c r="U58" i="9" s="1"/>
  <c r="T101" i="9"/>
  <c r="U101" i="9" s="1"/>
  <c r="T90" i="9"/>
  <c r="U90" i="9" s="1"/>
  <c r="T9" i="9"/>
  <c r="U9" i="9" s="1"/>
  <c r="T142" i="9"/>
  <c r="U142" i="9" s="1"/>
  <c r="T152" i="9"/>
  <c r="U152" i="9" s="1"/>
  <c r="T64" i="9"/>
  <c r="U64" i="9" s="1"/>
  <c r="T30" i="9"/>
  <c r="U30" i="9" s="1"/>
  <c r="T36" i="9"/>
  <c r="U36" i="9" s="1"/>
  <c r="T206" i="9"/>
  <c r="U206" i="9" s="1"/>
  <c r="T146" i="9"/>
  <c r="U146" i="9" s="1"/>
  <c r="T175" i="9"/>
  <c r="U175" i="9" s="1"/>
  <c r="T210" i="9"/>
  <c r="U210" i="9" s="1"/>
  <c r="T253" i="9"/>
  <c r="T249" i="9"/>
  <c r="U249" i="9" s="1"/>
  <c r="T163" i="9"/>
  <c r="U163" i="9" s="1"/>
  <c r="T133" i="9"/>
  <c r="U133" i="9" s="1"/>
  <c r="T75" i="9"/>
  <c r="U75" i="9" s="1"/>
  <c r="T180" i="9"/>
  <c r="U180" i="9" s="1"/>
  <c r="T67" i="9"/>
  <c r="U67" i="9" s="1"/>
  <c r="T120" i="9"/>
  <c r="U120" i="9" s="1"/>
  <c r="T247" i="9"/>
  <c r="U247" i="9" s="1"/>
  <c r="T132" i="9"/>
  <c r="U132" i="9" s="1"/>
  <c r="T136" i="9"/>
  <c r="U136" i="9" s="1"/>
  <c r="T49" i="9"/>
  <c r="U49" i="9" s="1"/>
  <c r="T190" i="9"/>
  <c r="U190" i="9" s="1"/>
  <c r="T178" i="9"/>
  <c r="U178" i="9" s="1"/>
  <c r="T186" i="9"/>
  <c r="U186" i="9" s="1"/>
  <c r="T13" i="9"/>
  <c r="U13" i="9" s="1"/>
  <c r="T32" i="9"/>
  <c r="U32" i="9" s="1"/>
  <c r="T159" i="9"/>
  <c r="U159" i="9" s="1"/>
  <c r="T230" i="9"/>
  <c r="U230" i="9" s="1"/>
  <c r="T78" i="9"/>
  <c r="U78" i="9" s="1"/>
  <c r="T301" i="9"/>
  <c r="U301" i="9" s="1"/>
  <c r="T213" i="9"/>
  <c r="U213" i="9" s="1"/>
  <c r="T268" i="9"/>
  <c r="U268" i="9" s="1"/>
  <c r="T296" i="9"/>
  <c r="U296" i="9" s="1"/>
  <c r="T70" i="9"/>
  <c r="U70" i="9" s="1"/>
  <c r="T236" i="9"/>
  <c r="U236" i="9" s="1"/>
  <c r="T299" i="9"/>
  <c r="U299" i="9" s="1"/>
  <c r="T12" i="9"/>
  <c r="U12" i="9" s="1"/>
  <c r="T174" i="9"/>
  <c r="U174" i="9" s="1"/>
  <c r="T302" i="9"/>
  <c r="U302" i="9" s="1"/>
  <c r="T153" i="9"/>
  <c r="U153" i="9" s="1"/>
  <c r="T65" i="9"/>
  <c r="U65" i="9" s="1"/>
  <c r="T17" i="9"/>
  <c r="U17" i="9" s="1"/>
  <c r="T40" i="9"/>
  <c r="U40" i="9" s="1"/>
  <c r="T241" i="9"/>
  <c r="U241" i="9" s="1"/>
  <c r="T231" i="9"/>
  <c r="U231" i="9" s="1"/>
  <c r="T116" i="9"/>
  <c r="U116" i="9" s="1"/>
  <c r="T89" i="9"/>
  <c r="U89" i="9" s="1"/>
  <c r="T281" i="9"/>
  <c r="U281" i="9" s="1"/>
  <c r="T45" i="9"/>
  <c r="U45" i="9" s="1"/>
  <c r="T277" i="9"/>
  <c r="U277" i="9" s="1"/>
  <c r="T217" i="9"/>
  <c r="U217" i="9" s="1"/>
  <c r="T282" i="9"/>
  <c r="U282" i="9" s="1"/>
  <c r="T288" i="9"/>
  <c r="U288" i="9" s="1"/>
  <c r="T244" i="9"/>
  <c r="U244" i="9" s="1"/>
  <c r="T193" i="9"/>
  <c r="U193" i="9" s="1"/>
  <c r="T220" i="9"/>
  <c r="U220" i="9" s="1"/>
  <c r="T135" i="9"/>
  <c r="U135" i="9" s="1"/>
  <c r="T307" i="9"/>
  <c r="U307" i="9" s="1"/>
  <c r="T218" i="9"/>
  <c r="U218" i="9" s="1"/>
  <c r="T54" i="9"/>
  <c r="U54" i="9" s="1"/>
  <c r="T189" i="9"/>
  <c r="U189" i="9" s="1"/>
  <c r="T259" i="9"/>
  <c r="U259" i="9" s="1"/>
  <c r="T79" i="9"/>
  <c r="U79" i="9" s="1"/>
  <c r="T60" i="9"/>
  <c r="U60" i="9" s="1"/>
  <c r="T108" i="9"/>
  <c r="U108" i="9" s="1"/>
  <c r="T15" i="9"/>
  <c r="U15" i="9" s="1"/>
  <c r="T94" i="9"/>
  <c r="U94" i="9" s="1"/>
  <c r="T290" i="9"/>
  <c r="U290" i="9" s="1"/>
  <c r="T103" i="9"/>
  <c r="U103" i="9" s="1"/>
  <c r="T287" i="9"/>
  <c r="U287" i="9" s="1"/>
  <c r="T126" i="9"/>
  <c r="U126" i="9" s="1"/>
  <c r="T250" i="9"/>
  <c r="U250" i="9" s="1"/>
  <c r="T285" i="9"/>
  <c r="U285" i="9" s="1"/>
  <c r="T229" i="9"/>
  <c r="U229" i="9" s="1"/>
  <c r="T272" i="9"/>
  <c r="U272" i="9" s="1"/>
  <c r="T28" i="9"/>
  <c r="U28" i="9" s="1"/>
  <c r="T21" i="9"/>
  <c r="U21" i="9" s="1"/>
  <c r="T169" i="9"/>
  <c r="U169" i="9" s="1"/>
  <c r="T97" i="9"/>
  <c r="U97" i="9" s="1"/>
  <c r="T291" i="9"/>
  <c r="U291" i="9" s="1"/>
  <c r="T23" i="9"/>
  <c r="U23" i="9" s="1"/>
  <c r="T293" i="9"/>
  <c r="U293" i="9" s="1"/>
  <c r="T269" i="9"/>
  <c r="U269" i="9" s="1"/>
  <c r="T69" i="9"/>
  <c r="U69" i="9" s="1"/>
  <c r="U253" i="9" l="1"/>
  <c r="N27" i="45"/>
  <c r="N29" i="45" s="1"/>
  <c r="I30" i="45" s="1"/>
  <c r="V153" i="9"/>
  <c r="X153" i="9" s="1"/>
  <c r="Y153" i="9" s="1"/>
  <c r="V191" i="9"/>
  <c r="X191" i="9" s="1"/>
  <c r="Y191" i="9" s="1"/>
  <c r="V300" i="9"/>
  <c r="X300" i="9" s="1"/>
  <c r="Y300" i="9" s="1"/>
  <c r="V297" i="9"/>
  <c r="X297" i="9" s="1"/>
  <c r="Y297" i="9" s="1"/>
  <c r="V188" i="9"/>
  <c r="X188" i="9" s="1"/>
  <c r="Y188" i="9" s="1"/>
  <c r="V221" i="9"/>
  <c r="X221" i="9" s="1"/>
  <c r="Y221" i="9" s="1"/>
  <c r="V176" i="9"/>
  <c r="X176" i="9" s="1"/>
  <c r="Y176" i="9" s="1"/>
  <c r="V295" i="9"/>
  <c r="X295" i="9" s="1"/>
  <c r="Y295" i="9" s="1"/>
  <c r="V219" i="9"/>
  <c r="X219" i="9" s="1"/>
  <c r="Y219" i="9" s="1"/>
  <c r="V62" i="9"/>
  <c r="X62" i="9" s="1"/>
  <c r="Y62" i="9" s="1"/>
  <c r="V271" i="9"/>
  <c r="X271" i="9" s="1"/>
  <c r="Y271" i="9" s="1"/>
  <c r="V158" i="9"/>
  <c r="X158" i="9" s="1"/>
  <c r="Y158" i="9" s="1"/>
  <c r="V110" i="9"/>
  <c r="X110" i="9" s="1"/>
  <c r="Y110" i="9" s="1"/>
  <c r="V63" i="9"/>
  <c r="X63" i="9" s="1"/>
  <c r="Y63" i="9" s="1"/>
  <c r="V160" i="9"/>
  <c r="X160" i="9" s="1"/>
  <c r="Y160" i="9" s="1"/>
  <c r="V260" i="9"/>
  <c r="X260" i="9" s="1"/>
  <c r="Y260" i="9" s="1"/>
  <c r="V196" i="9"/>
  <c r="X196" i="9" s="1"/>
  <c r="Y196" i="9" s="1"/>
  <c r="V143" i="9"/>
  <c r="X143" i="9" s="1"/>
  <c r="Y143" i="9" s="1"/>
  <c r="V109" i="9"/>
  <c r="X109" i="9" s="1"/>
  <c r="Y109" i="9" s="1"/>
  <c r="V117" i="9"/>
  <c r="X117" i="9" s="1"/>
  <c r="Y117" i="9" s="1"/>
  <c r="V303" i="9"/>
  <c r="X303" i="9" s="1"/>
  <c r="Y303" i="9" s="1"/>
  <c r="V83" i="9"/>
  <c r="X83" i="9" s="1"/>
  <c r="Y83" i="9" s="1"/>
  <c r="V251" i="9"/>
  <c r="X251" i="9" s="1"/>
  <c r="Y251" i="9" s="1"/>
  <c r="V164" i="9"/>
  <c r="X164" i="9" s="1"/>
  <c r="Y164" i="9" s="1"/>
  <c r="V26" i="9"/>
  <c r="X26" i="9" s="1"/>
  <c r="Y26" i="9" s="1"/>
  <c r="V281" i="9"/>
  <c r="X281" i="9" s="1"/>
  <c r="Y281" i="9" s="1"/>
  <c r="V175" i="9"/>
  <c r="X175" i="9" s="1"/>
  <c r="Y175" i="9" s="1"/>
  <c r="V79" i="9"/>
  <c r="X79" i="9" s="1"/>
  <c r="Y79" i="9" s="1"/>
  <c r="V193" i="9"/>
  <c r="X193" i="9" s="1"/>
  <c r="Y193" i="9" s="1"/>
  <c r="V89" i="9"/>
  <c r="X89" i="9" s="1"/>
  <c r="Y89" i="9" s="1"/>
  <c r="V302" i="9"/>
  <c r="X302" i="9" s="1"/>
  <c r="Y302" i="9" s="1"/>
  <c r="V213" i="9"/>
  <c r="X213" i="9" s="1"/>
  <c r="Y213" i="9" s="1"/>
  <c r="V178" i="9"/>
  <c r="X178" i="9" s="1"/>
  <c r="Y178" i="9" s="1"/>
  <c r="V180" i="9"/>
  <c r="X180" i="9" s="1"/>
  <c r="Y180" i="9" s="1"/>
  <c r="V146" i="9"/>
  <c r="X146" i="9" s="1"/>
  <c r="Y146" i="9" s="1"/>
  <c r="V90" i="9"/>
  <c r="X90" i="9" s="1"/>
  <c r="Y90" i="9" s="1"/>
  <c r="V305" i="9"/>
  <c r="X305" i="9" s="1"/>
  <c r="Y305" i="9" s="1"/>
  <c r="V224" i="9"/>
  <c r="X224" i="9" s="1"/>
  <c r="Y224" i="9" s="1"/>
  <c r="V29" i="9"/>
  <c r="X29" i="9" s="1"/>
  <c r="Y29" i="9" s="1"/>
  <c r="V200" i="9"/>
  <c r="X200" i="9" s="1"/>
  <c r="Y200" i="9" s="1"/>
  <c r="V228" i="9"/>
  <c r="X228" i="9" s="1"/>
  <c r="Y228" i="9" s="1"/>
  <c r="V235" i="9"/>
  <c r="X235" i="9" s="1"/>
  <c r="Y235" i="9" s="1"/>
  <c r="V102" i="9"/>
  <c r="X102" i="9" s="1"/>
  <c r="Y102" i="9" s="1"/>
  <c r="V50" i="9"/>
  <c r="X50" i="9" s="1"/>
  <c r="Y50" i="9" s="1"/>
  <c r="V252" i="9"/>
  <c r="X252" i="9" s="1"/>
  <c r="Y252" i="9" s="1"/>
  <c r="V216" i="9"/>
  <c r="X216" i="9" s="1"/>
  <c r="Y216" i="9" s="1"/>
  <c r="V209" i="9"/>
  <c r="X209" i="9" s="1"/>
  <c r="Y209" i="9" s="1"/>
  <c r="V38" i="9"/>
  <c r="X38" i="9" s="1"/>
  <c r="Y38" i="9" s="1"/>
  <c r="V276" i="9"/>
  <c r="X276" i="9" s="1"/>
  <c r="Y276" i="9" s="1"/>
  <c r="V304" i="9"/>
  <c r="X304" i="9" s="1"/>
  <c r="Y304" i="9" s="1"/>
  <c r="V100" i="9"/>
  <c r="X100" i="9" s="1"/>
  <c r="Y100" i="9" s="1"/>
  <c r="V208" i="9"/>
  <c r="X208" i="9" s="1"/>
  <c r="Y208" i="9" s="1"/>
  <c r="V192" i="9"/>
  <c r="X192" i="9" s="1"/>
  <c r="Y192" i="9" s="1"/>
  <c r="V232" i="9"/>
  <c r="X232" i="9" s="1"/>
  <c r="Y232" i="9" s="1"/>
  <c r="V243" i="9"/>
  <c r="X243" i="9" s="1"/>
  <c r="Y243" i="9" s="1"/>
  <c r="V266" i="9"/>
  <c r="X266" i="9" s="1"/>
  <c r="Y266" i="9" s="1"/>
  <c r="V278" i="9"/>
  <c r="X278" i="9" s="1"/>
  <c r="Y278" i="9" s="1"/>
  <c r="V105" i="9"/>
  <c r="X105" i="9" s="1"/>
  <c r="Y105" i="9" s="1"/>
  <c r="V48" i="9"/>
  <c r="X48" i="9" s="1"/>
  <c r="Y48" i="9" s="1"/>
  <c r="V123" i="9"/>
  <c r="X123" i="9" s="1"/>
  <c r="Y123" i="9" s="1"/>
  <c r="V292" i="9"/>
  <c r="X292" i="9" s="1"/>
  <c r="Y292" i="9" s="1"/>
  <c r="V61" i="9"/>
  <c r="X61" i="9" s="1"/>
  <c r="Y61" i="9" s="1"/>
  <c r="V60" i="9"/>
  <c r="X60" i="9" s="1"/>
  <c r="Y60" i="9" s="1"/>
  <c r="V186" i="9"/>
  <c r="X186" i="9" s="1"/>
  <c r="Y186" i="9" s="1"/>
  <c r="V169" i="9"/>
  <c r="X169" i="9" s="1"/>
  <c r="Y169" i="9" s="1"/>
  <c r="V244" i="9"/>
  <c r="X244" i="9" s="1"/>
  <c r="Y244" i="9" s="1"/>
  <c r="V116" i="9"/>
  <c r="X116" i="9" s="1"/>
  <c r="Y116" i="9" s="1"/>
  <c r="V174" i="9"/>
  <c r="X174" i="9" s="1"/>
  <c r="Y174" i="9" s="1"/>
  <c r="V301" i="9"/>
  <c r="X301" i="9" s="1"/>
  <c r="Y301" i="9" s="1"/>
  <c r="V190" i="9"/>
  <c r="X190" i="9" s="1"/>
  <c r="Y190" i="9" s="1"/>
  <c r="V75" i="9"/>
  <c r="X75" i="9" s="1"/>
  <c r="Y75" i="9" s="1"/>
  <c r="V206" i="9"/>
  <c r="X206" i="9" s="1"/>
  <c r="Y206" i="9" s="1"/>
  <c r="V101" i="9"/>
  <c r="X101" i="9" s="1"/>
  <c r="Y101" i="9" s="1"/>
  <c r="V280" i="9"/>
  <c r="X280" i="9" s="1"/>
  <c r="Y280" i="9" s="1"/>
  <c r="V170" i="9"/>
  <c r="X170" i="9" s="1"/>
  <c r="Y170" i="9" s="1"/>
  <c r="V199" i="9"/>
  <c r="X199" i="9" s="1"/>
  <c r="Y199" i="9" s="1"/>
  <c r="V171" i="9"/>
  <c r="X171" i="9" s="1"/>
  <c r="Y171" i="9" s="1"/>
  <c r="V162" i="9"/>
  <c r="X162" i="9" s="1"/>
  <c r="Y162" i="9" s="1"/>
  <c r="V76" i="9"/>
  <c r="X76" i="9" s="1"/>
  <c r="Y76" i="9" s="1"/>
  <c r="V39" i="9"/>
  <c r="X39" i="9" s="1"/>
  <c r="Y39" i="9" s="1"/>
  <c r="V77" i="9"/>
  <c r="X77" i="9" s="1"/>
  <c r="Y77" i="9" s="1"/>
  <c r="V95" i="9"/>
  <c r="X95" i="9" s="1"/>
  <c r="Y95" i="9" s="1"/>
  <c r="V154" i="9"/>
  <c r="X154" i="9" s="1"/>
  <c r="Y154" i="9" s="1"/>
  <c r="V144" i="9"/>
  <c r="X144" i="9" s="1"/>
  <c r="Y144" i="9" s="1"/>
  <c r="V41" i="9"/>
  <c r="X41" i="9" s="1"/>
  <c r="Y41" i="9" s="1"/>
  <c r="V115" i="9"/>
  <c r="X115" i="9" s="1"/>
  <c r="Y115" i="9" s="1"/>
  <c r="V239" i="9"/>
  <c r="X239" i="9" s="1"/>
  <c r="Y239" i="9" s="1"/>
  <c r="V194" i="9"/>
  <c r="X194" i="9" s="1"/>
  <c r="Y194" i="9" s="1"/>
  <c r="V86" i="9"/>
  <c r="X86" i="9" s="1"/>
  <c r="Y86" i="9" s="1"/>
  <c r="V93" i="9"/>
  <c r="X93" i="9" s="1"/>
  <c r="Y93" i="9" s="1"/>
  <c r="V24" i="9"/>
  <c r="X24" i="9" s="1"/>
  <c r="Y24" i="9" s="1"/>
  <c r="V11" i="9"/>
  <c r="X11" i="9" s="1"/>
  <c r="Y11" i="9" s="1"/>
  <c r="V151" i="9"/>
  <c r="X151" i="9" s="1"/>
  <c r="Y151" i="9" s="1"/>
  <c r="V246" i="9"/>
  <c r="X246" i="9" s="1"/>
  <c r="Y246" i="9" s="1"/>
  <c r="V185" i="9"/>
  <c r="X185" i="9" s="1"/>
  <c r="Y185" i="9" s="1"/>
  <c r="V195" i="9"/>
  <c r="X195" i="9" s="1"/>
  <c r="Y195" i="9" s="1"/>
  <c r="V286" i="9"/>
  <c r="X286" i="9" s="1"/>
  <c r="Y286" i="9" s="1"/>
  <c r="V207" i="9"/>
  <c r="X207" i="9" s="1"/>
  <c r="Y207" i="9" s="1"/>
  <c r="V212" i="9"/>
  <c r="X212" i="9" s="1"/>
  <c r="Y212" i="9" s="1"/>
  <c r="V220" i="9"/>
  <c r="X220" i="9" s="1"/>
  <c r="Y220" i="9" s="1"/>
  <c r="V91" i="9"/>
  <c r="X91" i="9" s="1"/>
  <c r="Y91" i="9" s="1"/>
  <c r="V103" i="9"/>
  <c r="X103" i="9" s="1"/>
  <c r="Y103" i="9" s="1"/>
  <c r="V231" i="9"/>
  <c r="X231" i="9" s="1"/>
  <c r="Y231" i="9" s="1"/>
  <c r="V12" i="9"/>
  <c r="X12" i="9" s="1"/>
  <c r="Y12" i="9" s="1"/>
  <c r="V78" i="9"/>
  <c r="X78" i="9" s="1"/>
  <c r="Y78" i="9" s="1"/>
  <c r="V49" i="9"/>
  <c r="X49" i="9" s="1"/>
  <c r="Y49" i="9" s="1"/>
  <c r="V133" i="9"/>
  <c r="X133" i="9" s="1"/>
  <c r="Y133" i="9" s="1"/>
  <c r="V36" i="9"/>
  <c r="X36" i="9" s="1"/>
  <c r="Y36" i="9" s="1"/>
  <c r="V58" i="9"/>
  <c r="X58" i="9" s="1"/>
  <c r="Y58" i="9" s="1"/>
  <c r="V279" i="9"/>
  <c r="X279" i="9" s="1"/>
  <c r="Y279" i="9" s="1"/>
  <c r="V82" i="9"/>
  <c r="X82" i="9" s="1"/>
  <c r="Y82" i="9" s="1"/>
  <c r="V31" i="9"/>
  <c r="X31" i="9" s="1"/>
  <c r="Y31" i="9" s="1"/>
  <c r="V274" i="9"/>
  <c r="X274" i="9" s="1"/>
  <c r="Y274" i="9" s="1"/>
  <c r="V128" i="9"/>
  <c r="X128" i="9" s="1"/>
  <c r="Y128" i="9" s="1"/>
  <c r="V27" i="9"/>
  <c r="X27" i="9" s="1"/>
  <c r="Y27" i="9" s="1"/>
  <c r="V173" i="9"/>
  <c r="X173" i="9" s="1"/>
  <c r="Y173" i="9" s="1"/>
  <c r="V71" i="9"/>
  <c r="X71" i="9" s="1"/>
  <c r="Y71" i="9" s="1"/>
  <c r="V98" i="9"/>
  <c r="X98" i="9" s="1"/>
  <c r="Y98" i="9" s="1"/>
  <c r="V306" i="9"/>
  <c r="X306" i="9" s="1"/>
  <c r="Y306" i="9" s="1"/>
  <c r="V10" i="9"/>
  <c r="X10" i="9" s="1"/>
  <c r="Y10" i="9" s="1"/>
  <c r="V92" i="9"/>
  <c r="X92" i="9" s="1"/>
  <c r="Y92" i="9" s="1"/>
  <c r="V294" i="9"/>
  <c r="X294" i="9" s="1"/>
  <c r="Y294" i="9" s="1"/>
  <c r="V73" i="9"/>
  <c r="X73" i="9" s="1"/>
  <c r="Y73" i="9" s="1"/>
  <c r="V68" i="9"/>
  <c r="X68" i="9" s="1"/>
  <c r="Y68" i="9" s="1"/>
  <c r="V118" i="9"/>
  <c r="X118" i="9" s="1"/>
  <c r="Y118" i="9" s="1"/>
  <c r="V16" i="9"/>
  <c r="X16" i="9" s="1"/>
  <c r="Y16" i="9" s="1"/>
  <c r="V149" i="9"/>
  <c r="X149" i="9" s="1"/>
  <c r="Y149" i="9" s="1"/>
  <c r="V99" i="9"/>
  <c r="X99" i="9" s="1"/>
  <c r="Y99" i="9" s="1"/>
  <c r="V25" i="9"/>
  <c r="X25" i="9" s="1"/>
  <c r="Y25" i="9" s="1"/>
  <c r="V137" i="9"/>
  <c r="X137" i="9" s="1"/>
  <c r="Y137" i="9" s="1"/>
  <c r="V205" i="9"/>
  <c r="X205" i="9" s="1"/>
  <c r="Y205" i="9" s="1"/>
  <c r="V284" i="9"/>
  <c r="X284" i="9" s="1"/>
  <c r="Y284" i="9" s="1"/>
  <c r="V72" i="9"/>
  <c r="X72" i="9" s="1"/>
  <c r="Y72" i="9" s="1"/>
  <c r="V150" i="9"/>
  <c r="X150" i="9" s="1"/>
  <c r="Y150" i="9" s="1"/>
  <c r="V112" i="9"/>
  <c r="X112" i="9" s="1"/>
  <c r="Y112" i="9" s="1"/>
  <c r="V291" i="9"/>
  <c r="X291" i="9" s="1"/>
  <c r="Y291" i="9" s="1"/>
  <c r="V56" i="9"/>
  <c r="X56" i="9" s="1"/>
  <c r="Y56" i="9" s="1"/>
  <c r="V259" i="9"/>
  <c r="X259" i="9" s="1"/>
  <c r="Y259" i="9" s="1"/>
  <c r="V290" i="9"/>
  <c r="X290" i="9" s="1"/>
  <c r="Y290" i="9" s="1"/>
  <c r="V241" i="9"/>
  <c r="X241" i="9" s="1"/>
  <c r="Y241" i="9" s="1"/>
  <c r="V299" i="9"/>
  <c r="X299" i="9" s="1"/>
  <c r="Y299" i="9" s="1"/>
  <c r="V230" i="9"/>
  <c r="X230" i="9" s="1"/>
  <c r="Y230" i="9" s="1"/>
  <c r="V136" i="9"/>
  <c r="X136" i="9" s="1"/>
  <c r="Y136" i="9" s="1"/>
  <c r="V163" i="9"/>
  <c r="X163" i="9" s="1"/>
  <c r="Y163" i="9" s="1"/>
  <c r="V30" i="9"/>
  <c r="X30" i="9" s="1"/>
  <c r="Y30" i="9" s="1"/>
  <c r="V177" i="9"/>
  <c r="X177" i="9" s="1"/>
  <c r="Y177" i="9" s="1"/>
  <c r="V183" i="9"/>
  <c r="X183" i="9" s="1"/>
  <c r="Y183" i="9" s="1"/>
  <c r="V265" i="9"/>
  <c r="X265" i="9" s="1"/>
  <c r="Y265" i="9" s="1"/>
  <c r="V88" i="9"/>
  <c r="X88" i="9" s="1"/>
  <c r="Y88" i="9" s="1"/>
  <c r="V33" i="9"/>
  <c r="X33" i="9" s="1"/>
  <c r="Y33" i="9" s="1"/>
  <c r="V131" i="9"/>
  <c r="X131" i="9" s="1"/>
  <c r="Y131" i="9" s="1"/>
  <c r="V273" i="9"/>
  <c r="X273" i="9" s="1"/>
  <c r="Y273" i="9" s="1"/>
  <c r="V214" i="9"/>
  <c r="X214" i="9" s="1"/>
  <c r="Y214" i="9" s="1"/>
  <c r="V262" i="9"/>
  <c r="X262" i="9" s="1"/>
  <c r="Y262" i="9" s="1"/>
  <c r="V111" i="9"/>
  <c r="X111" i="9" s="1"/>
  <c r="Y111" i="9" s="1"/>
  <c r="V245" i="9"/>
  <c r="X245" i="9" s="1"/>
  <c r="Y245" i="9" s="1"/>
  <c r="V139" i="9"/>
  <c r="X139" i="9" s="1"/>
  <c r="Y139" i="9" s="1"/>
  <c r="V52" i="9"/>
  <c r="X52" i="9" s="1"/>
  <c r="Y52" i="9" s="1"/>
  <c r="V85" i="9"/>
  <c r="X85" i="9" s="1"/>
  <c r="Y85" i="9" s="1"/>
  <c r="V226" i="9"/>
  <c r="X226" i="9" s="1"/>
  <c r="Y226" i="9" s="1"/>
  <c r="V122" i="9"/>
  <c r="X122" i="9" s="1"/>
  <c r="Y122" i="9" s="1"/>
  <c r="V184" i="9"/>
  <c r="X184" i="9" s="1"/>
  <c r="Y184" i="9" s="1"/>
  <c r="V167" i="9"/>
  <c r="X167" i="9" s="1"/>
  <c r="Y167" i="9" s="1"/>
  <c r="V127" i="9"/>
  <c r="X127" i="9" s="1"/>
  <c r="Y127" i="9" s="1"/>
  <c r="V264" i="9"/>
  <c r="X264" i="9" s="1"/>
  <c r="Y264" i="9" s="1"/>
  <c r="V124" i="9"/>
  <c r="X124" i="9" s="1"/>
  <c r="Y124" i="9" s="1"/>
  <c r="V283" i="9"/>
  <c r="X283" i="9" s="1"/>
  <c r="Y283" i="9" s="1"/>
  <c r="V18" i="9"/>
  <c r="X18" i="9" s="1"/>
  <c r="Y18" i="9" s="1"/>
  <c r="V148" i="9"/>
  <c r="X148" i="9" s="1"/>
  <c r="Y148" i="9" s="1"/>
  <c r="V202" i="9"/>
  <c r="X202" i="9" s="1"/>
  <c r="Y202" i="9" s="1"/>
  <c r="V14" i="9"/>
  <c r="X14" i="9" s="1"/>
  <c r="Y14" i="9" s="1"/>
  <c r="V258" i="9"/>
  <c r="X258" i="9" s="1"/>
  <c r="Y258" i="9" s="1"/>
  <c r="V250" i="9"/>
  <c r="X250" i="9" s="1"/>
  <c r="Y250" i="9" s="1"/>
  <c r="V67" i="9"/>
  <c r="X67" i="9" s="1"/>
  <c r="Y67" i="9" s="1"/>
  <c r="V126" i="9"/>
  <c r="X126" i="9" s="1"/>
  <c r="Y126" i="9" s="1"/>
  <c r="V189" i="9"/>
  <c r="X189" i="9" s="1"/>
  <c r="Y189" i="9" s="1"/>
  <c r="V28" i="9"/>
  <c r="X28" i="9" s="1"/>
  <c r="Y28" i="9" s="1"/>
  <c r="V269" i="9"/>
  <c r="X269" i="9" s="1"/>
  <c r="Y269" i="9" s="1"/>
  <c r="V272" i="9"/>
  <c r="X272" i="9" s="1"/>
  <c r="Y272" i="9" s="1"/>
  <c r="V94" i="9"/>
  <c r="X94" i="9" s="1"/>
  <c r="Y94" i="9" s="1"/>
  <c r="V218" i="9"/>
  <c r="X218" i="9" s="1"/>
  <c r="Y218" i="9" s="1"/>
  <c r="V217" i="9"/>
  <c r="X217" i="9" s="1"/>
  <c r="Y217" i="9" s="1"/>
  <c r="V40" i="9"/>
  <c r="X40" i="9" s="1"/>
  <c r="Y40" i="9" s="1"/>
  <c r="V236" i="9"/>
  <c r="X236" i="9" s="1"/>
  <c r="Y236" i="9" s="1"/>
  <c r="V159" i="9"/>
  <c r="X159" i="9" s="1"/>
  <c r="Y159" i="9" s="1"/>
  <c r="V132" i="9"/>
  <c r="X132" i="9" s="1"/>
  <c r="Y132" i="9" s="1"/>
  <c r="V249" i="9"/>
  <c r="X249" i="9" s="1"/>
  <c r="Y249" i="9" s="1"/>
  <c r="V64" i="9"/>
  <c r="X64" i="9" s="1"/>
  <c r="Y64" i="9" s="1"/>
  <c r="V47" i="9"/>
  <c r="X47" i="9" s="1"/>
  <c r="Y47" i="9" s="1"/>
  <c r="V165" i="9"/>
  <c r="X165" i="9" s="1"/>
  <c r="Y165" i="9" s="1"/>
  <c r="V104" i="9"/>
  <c r="X104" i="9" s="1"/>
  <c r="Y104" i="9" s="1"/>
  <c r="V233" i="9"/>
  <c r="X233" i="9" s="1"/>
  <c r="Y233" i="9" s="1"/>
  <c r="V106" i="9"/>
  <c r="X106" i="9" s="1"/>
  <c r="Y106" i="9" s="1"/>
  <c r="V179" i="9"/>
  <c r="X179" i="9" s="1"/>
  <c r="Y179" i="9" s="1"/>
  <c r="V34" i="9"/>
  <c r="X34" i="9" s="1"/>
  <c r="Y34" i="9" s="1"/>
  <c r="V74" i="9"/>
  <c r="X74" i="9" s="1"/>
  <c r="Y74" i="9" s="1"/>
  <c r="V181" i="9"/>
  <c r="X181" i="9" s="1"/>
  <c r="Y181" i="9" s="1"/>
  <c r="V51" i="9"/>
  <c r="X51" i="9" s="1"/>
  <c r="Y51" i="9" s="1"/>
  <c r="V141" i="9"/>
  <c r="X141" i="9" s="1"/>
  <c r="Y141" i="9" s="1"/>
  <c r="V96" i="9"/>
  <c r="X96" i="9" s="1"/>
  <c r="Y96" i="9" s="1"/>
  <c r="V46" i="9"/>
  <c r="X46" i="9" s="1"/>
  <c r="Y46" i="9" s="1"/>
  <c r="V145" i="9"/>
  <c r="X145" i="9" s="1"/>
  <c r="Y145" i="9" s="1"/>
  <c r="V237" i="9"/>
  <c r="X237" i="9" s="1"/>
  <c r="Y237" i="9" s="1"/>
  <c r="V227" i="9"/>
  <c r="X227" i="9" s="1"/>
  <c r="Y227" i="9" s="1"/>
  <c r="V234" i="9"/>
  <c r="X234" i="9" s="1"/>
  <c r="Y234" i="9" s="1"/>
  <c r="V44" i="9"/>
  <c r="X44" i="9" s="1"/>
  <c r="Y44" i="9" s="1"/>
  <c r="V55" i="9"/>
  <c r="X55" i="9" s="1"/>
  <c r="Y55" i="9" s="1"/>
  <c r="V156" i="9"/>
  <c r="X156" i="9" s="1"/>
  <c r="Y156" i="9" s="1"/>
  <c r="V225" i="9"/>
  <c r="X225" i="9" s="1"/>
  <c r="Y225" i="9" s="1"/>
  <c r="V168" i="9"/>
  <c r="X168" i="9" s="1"/>
  <c r="Y168" i="9" s="1"/>
  <c r="V130" i="9"/>
  <c r="X130" i="9" s="1"/>
  <c r="Y130" i="9" s="1"/>
  <c r="V270" i="9"/>
  <c r="X270" i="9" s="1"/>
  <c r="Y270" i="9" s="1"/>
  <c r="V140" i="9"/>
  <c r="X140" i="9" s="1"/>
  <c r="Y140" i="9" s="1"/>
  <c r="V261" i="9"/>
  <c r="X261" i="9" s="1"/>
  <c r="Y261" i="9" s="1"/>
  <c r="V9" i="9"/>
  <c r="X9" i="9" s="1"/>
  <c r="Y9" i="9" s="1"/>
  <c r="V287" i="9"/>
  <c r="X287" i="9" s="1"/>
  <c r="Y287" i="9" s="1"/>
  <c r="V288" i="9"/>
  <c r="X288" i="9" s="1"/>
  <c r="Y288" i="9" s="1"/>
  <c r="V54" i="9"/>
  <c r="X54" i="9" s="1"/>
  <c r="Y54" i="9" s="1"/>
  <c r="V229" i="9"/>
  <c r="X229" i="9" s="1"/>
  <c r="Y229" i="9" s="1"/>
  <c r="V15" i="9"/>
  <c r="X15" i="9" s="1"/>
  <c r="Y15" i="9" s="1"/>
  <c r="V307" i="9"/>
  <c r="X307" i="9" s="1"/>
  <c r="Y307" i="9" s="1"/>
  <c r="V277" i="9"/>
  <c r="X277" i="9" s="1"/>
  <c r="Y277" i="9" s="1"/>
  <c r="V17" i="9"/>
  <c r="X17" i="9" s="1"/>
  <c r="Y17" i="9" s="1"/>
  <c r="V70" i="9"/>
  <c r="X70" i="9" s="1"/>
  <c r="Y70" i="9" s="1"/>
  <c r="V32" i="9"/>
  <c r="X32" i="9" s="1"/>
  <c r="Y32" i="9" s="1"/>
  <c r="V247" i="9"/>
  <c r="X247" i="9" s="1"/>
  <c r="Y247" i="9" s="1"/>
  <c r="V253" i="9"/>
  <c r="X253" i="9" s="1"/>
  <c r="Y253" i="9" s="1"/>
  <c r="V152" i="9"/>
  <c r="X152" i="9" s="1"/>
  <c r="Y152" i="9" s="1"/>
  <c r="V35" i="9"/>
  <c r="X35" i="9" s="1"/>
  <c r="Y35" i="9" s="1"/>
  <c r="V19" i="9"/>
  <c r="X19" i="9" s="1"/>
  <c r="Y19" i="9" s="1"/>
  <c r="V223" i="9"/>
  <c r="X223" i="9" s="1"/>
  <c r="Y223" i="9" s="1"/>
  <c r="V66" i="9"/>
  <c r="X66" i="9" s="1"/>
  <c r="Y66" i="9" s="1"/>
  <c r="V155" i="9"/>
  <c r="X155" i="9" s="1"/>
  <c r="Y155" i="9" s="1"/>
  <c r="V263" i="9"/>
  <c r="X263" i="9" s="1"/>
  <c r="Y263" i="9" s="1"/>
  <c r="V242" i="9"/>
  <c r="X242" i="9" s="1"/>
  <c r="Y242" i="9" s="1"/>
  <c r="V129" i="9"/>
  <c r="X129" i="9" s="1"/>
  <c r="Y129" i="9" s="1"/>
  <c r="V84" i="9"/>
  <c r="X84" i="9" s="1"/>
  <c r="Y84" i="9" s="1"/>
  <c r="V198" i="9"/>
  <c r="X198" i="9" s="1"/>
  <c r="Y198" i="9" s="1"/>
  <c r="V172" i="9"/>
  <c r="X172" i="9" s="1"/>
  <c r="Y172" i="9" s="1"/>
  <c r="V248" i="9"/>
  <c r="X248" i="9" s="1"/>
  <c r="Y248" i="9" s="1"/>
  <c r="V125" i="9"/>
  <c r="X125" i="9" s="1"/>
  <c r="Y125" i="9" s="1"/>
  <c r="V254" i="9"/>
  <c r="X254" i="9" s="1"/>
  <c r="Y254" i="9" s="1"/>
  <c r="V275" i="9"/>
  <c r="X275" i="9" s="1"/>
  <c r="Y275" i="9" s="1"/>
  <c r="V80" i="9"/>
  <c r="X80" i="9" s="1"/>
  <c r="Y80" i="9" s="1"/>
  <c r="V134" i="9"/>
  <c r="X134" i="9" s="1"/>
  <c r="Y134" i="9" s="1"/>
  <c r="V157" i="9"/>
  <c r="X157" i="9" s="1"/>
  <c r="Y157" i="9" s="1"/>
  <c r="V187" i="9"/>
  <c r="X187" i="9" s="1"/>
  <c r="Y187" i="9" s="1"/>
  <c r="V211" i="9"/>
  <c r="X211" i="9" s="1"/>
  <c r="Y211" i="9" s="1"/>
  <c r="V267" i="9"/>
  <c r="X267" i="9" s="1"/>
  <c r="Y267" i="9" s="1"/>
  <c r="V215" i="9"/>
  <c r="X215" i="9" s="1"/>
  <c r="Y215" i="9" s="1"/>
  <c r="V57" i="9"/>
  <c r="X57" i="9" s="1"/>
  <c r="Y57" i="9" s="1"/>
  <c r="V119" i="9"/>
  <c r="X119" i="9" s="1"/>
  <c r="Y119" i="9" s="1"/>
  <c r="V113" i="9"/>
  <c r="X113" i="9" s="1"/>
  <c r="Y113" i="9" s="1"/>
  <c r="V43" i="9"/>
  <c r="X43" i="9" s="1"/>
  <c r="Y43" i="9" s="1"/>
  <c r="V238" i="9"/>
  <c r="X238" i="9" s="1"/>
  <c r="Y238" i="9" s="1"/>
  <c r="V268" i="9"/>
  <c r="X268" i="9" s="1"/>
  <c r="Y268" i="9" s="1"/>
  <c r="V97" i="9"/>
  <c r="X97" i="9" s="1"/>
  <c r="Y97" i="9" s="1"/>
  <c r="V21" i="9"/>
  <c r="X21" i="9" s="1"/>
  <c r="Y21" i="9" s="1"/>
  <c r="V69" i="9"/>
  <c r="X69" i="9" s="1"/>
  <c r="Y69" i="9" s="1"/>
  <c r="V282" i="9"/>
  <c r="X282" i="9" s="1"/>
  <c r="Y282" i="9" s="1"/>
  <c r="V293" i="9"/>
  <c r="X293" i="9" s="1"/>
  <c r="Y293" i="9" s="1"/>
  <c r="V23" i="9"/>
  <c r="X23" i="9" s="1"/>
  <c r="Y23" i="9" s="1"/>
  <c r="V285" i="9"/>
  <c r="X285" i="9" s="1"/>
  <c r="Y285" i="9" s="1"/>
  <c r="V108" i="9"/>
  <c r="X108" i="9" s="1"/>
  <c r="Y108" i="9" s="1"/>
  <c r="V135" i="9"/>
  <c r="X135" i="9" s="1"/>
  <c r="Y135" i="9" s="1"/>
  <c r="V45" i="9"/>
  <c r="X45" i="9" s="1"/>
  <c r="Y45" i="9" s="1"/>
  <c r="V65" i="9"/>
  <c r="X65" i="9" s="1"/>
  <c r="Y65" i="9" s="1"/>
  <c r="V296" i="9"/>
  <c r="X296" i="9" s="1"/>
  <c r="Y296" i="9" s="1"/>
  <c r="V13" i="9"/>
  <c r="X13" i="9" s="1"/>
  <c r="Y13" i="9" s="1"/>
  <c r="V120" i="9"/>
  <c r="X120" i="9" s="1"/>
  <c r="Y120" i="9" s="1"/>
  <c r="V210" i="9"/>
  <c r="X210" i="9" s="1"/>
  <c r="Y210" i="9" s="1"/>
  <c r="V142" i="9"/>
  <c r="X142" i="9" s="1"/>
  <c r="Y142" i="9" s="1"/>
  <c r="V201" i="9"/>
  <c r="X201" i="9" s="1"/>
  <c r="Y201" i="9" s="1"/>
  <c r="V121" i="9"/>
  <c r="X121" i="9" s="1"/>
  <c r="Y121" i="9" s="1"/>
  <c r="V182" i="9"/>
  <c r="X182" i="9" s="1"/>
  <c r="Y182" i="9" s="1"/>
  <c r="V197" i="9"/>
  <c r="X197" i="9" s="1"/>
  <c r="Y197" i="9" s="1"/>
  <c r="V42" i="9"/>
  <c r="X42" i="9" s="1"/>
  <c r="Y42" i="9" s="1"/>
  <c r="V255" i="9"/>
  <c r="X255" i="9" s="1"/>
  <c r="Y255" i="9" s="1"/>
  <c r="V256" i="9"/>
  <c r="X256" i="9" s="1"/>
  <c r="Y256" i="9" s="1"/>
  <c r="V203" i="9"/>
  <c r="X203" i="9" s="1"/>
  <c r="Y203" i="9" s="1"/>
  <c r="V240" i="9"/>
  <c r="X240" i="9" s="1"/>
  <c r="Y240" i="9" s="1"/>
  <c r="V289" i="9"/>
  <c r="X289" i="9" s="1"/>
  <c r="Y289" i="9" s="1"/>
  <c r="V37" i="9"/>
  <c r="X37" i="9" s="1"/>
  <c r="Y37" i="9" s="1"/>
  <c r="V22" i="9"/>
  <c r="X22" i="9" s="1"/>
  <c r="Y22" i="9" s="1"/>
  <c r="V81" i="9"/>
  <c r="X81" i="9" s="1"/>
  <c r="Y81" i="9" s="1"/>
  <c r="V166" i="9"/>
  <c r="X166" i="9" s="1"/>
  <c r="Y166" i="9" s="1"/>
  <c r="V298" i="9"/>
  <c r="X298" i="9" s="1"/>
  <c r="Y298" i="9" s="1"/>
  <c r="V257" i="9"/>
  <c r="X257" i="9" s="1"/>
  <c r="Y257" i="9" s="1"/>
  <c r="V204" i="9"/>
  <c r="X204" i="9" s="1"/>
  <c r="Y204" i="9" s="1"/>
  <c r="V87" i="9"/>
  <c r="X87" i="9" s="1"/>
  <c r="Y87" i="9" s="1"/>
  <c r="V20" i="9"/>
  <c r="X20" i="9" s="1"/>
  <c r="Y20" i="9" s="1"/>
  <c r="V222" i="9"/>
  <c r="X222" i="9" s="1"/>
  <c r="Y222" i="9" s="1"/>
  <c r="V59" i="9"/>
  <c r="X59" i="9" s="1"/>
  <c r="Y59" i="9" s="1"/>
  <c r="V53" i="9"/>
  <c r="X53" i="9" s="1"/>
  <c r="Y53" i="9" s="1"/>
  <c r="V107" i="9"/>
  <c r="X107" i="9" s="1"/>
  <c r="Y107" i="9" s="1"/>
  <c r="V161" i="9"/>
  <c r="X161" i="9" s="1"/>
  <c r="Y161" i="9" s="1"/>
  <c r="V147" i="9"/>
  <c r="X147" i="9" s="1"/>
  <c r="Y147" i="9" s="1"/>
  <c r="V138" i="9"/>
  <c r="X138" i="9" s="1"/>
  <c r="Y138" i="9" s="1"/>
  <c r="V114" i="9"/>
  <c r="X114" i="9" s="1"/>
  <c r="Y114" i="9" s="1"/>
  <c r="T308" i="9"/>
  <c r="U8" i="9"/>
  <c r="V8" i="9" s="1"/>
  <c r="X8" i="9" s="1"/>
  <c r="Y8" i="9" l="1"/>
  <c r="Y308" i="9" s="1"/>
  <c r="X308" i="9"/>
  <c r="V2" i="9"/>
  <c r="I120" i="55"/>
  <c r="J120" i="55" s="1"/>
  <c r="P120" i="55" s="1"/>
  <c r="I51" i="55"/>
  <c r="J51" i="55" s="1"/>
  <c r="P51" i="55" s="1"/>
  <c r="I216" i="55"/>
  <c r="J216" i="55" s="1"/>
  <c r="P216" i="55" s="1"/>
  <c r="I59" i="55"/>
  <c r="J59" i="55" s="1"/>
  <c r="P59" i="55" s="1"/>
  <c r="I81" i="55"/>
  <c r="J81" i="55" s="1"/>
  <c r="P81" i="55" s="1"/>
  <c r="I42" i="55"/>
  <c r="J42" i="55" s="1"/>
  <c r="P42" i="55" s="1"/>
  <c r="I13" i="55"/>
  <c r="J13" i="55" s="1"/>
  <c r="P13" i="55" s="1"/>
  <c r="I293" i="55"/>
  <c r="J293" i="55" s="1"/>
  <c r="P293" i="55" s="1"/>
  <c r="I113" i="55"/>
  <c r="J113" i="55" s="1"/>
  <c r="P113" i="55" s="1"/>
  <c r="E22" i="57" s="1"/>
  <c r="I134" i="55"/>
  <c r="J134" i="55" s="1"/>
  <c r="P134" i="55" s="1"/>
  <c r="I84" i="55"/>
  <c r="J84" i="55" s="1"/>
  <c r="P84" i="55" s="1"/>
  <c r="I35" i="55"/>
  <c r="J35" i="55" s="1"/>
  <c r="P35" i="55" s="1"/>
  <c r="I307" i="55"/>
  <c r="J307" i="55" s="1"/>
  <c r="P307" i="55" s="1"/>
  <c r="I140" i="55"/>
  <c r="J140" i="55" s="1"/>
  <c r="P140" i="55" s="1"/>
  <c r="I234" i="55"/>
  <c r="J234" i="55" s="1"/>
  <c r="P234" i="55" s="1"/>
  <c r="I181" i="55"/>
  <c r="J181" i="55" s="1"/>
  <c r="P181" i="55" s="1"/>
  <c r="I47" i="55"/>
  <c r="J47" i="55" s="1"/>
  <c r="P47" i="55" s="1"/>
  <c r="I218" i="55"/>
  <c r="J218" i="55" s="1"/>
  <c r="P218" i="55" s="1"/>
  <c r="I250" i="55"/>
  <c r="J250" i="55" s="1"/>
  <c r="P250" i="55" s="1"/>
  <c r="I264" i="55"/>
  <c r="J264" i="55" s="1"/>
  <c r="P264" i="55" s="1"/>
  <c r="I139" i="55"/>
  <c r="J139" i="55" s="1"/>
  <c r="P139" i="55" s="1"/>
  <c r="I88" i="55"/>
  <c r="J88" i="55" s="1"/>
  <c r="P88" i="55" s="1"/>
  <c r="I299" i="55"/>
  <c r="J299" i="55" s="1"/>
  <c r="P299" i="55" s="1"/>
  <c r="I72" i="55"/>
  <c r="J72" i="55" s="1"/>
  <c r="P72" i="55" s="1"/>
  <c r="I118" i="55"/>
  <c r="J118" i="55" s="1"/>
  <c r="J36" i="45" s="1"/>
  <c r="I71" i="55"/>
  <c r="J71" i="55" s="1"/>
  <c r="P71" i="55" s="1"/>
  <c r="I58" i="55"/>
  <c r="J58" i="55" s="1"/>
  <c r="P58" i="55" s="1"/>
  <c r="I91" i="55"/>
  <c r="J91" i="55" s="1"/>
  <c r="P91" i="55" s="1"/>
  <c r="I151" i="55"/>
  <c r="J151" i="55" s="1"/>
  <c r="P151" i="55" s="1"/>
  <c r="I41" i="55"/>
  <c r="J41" i="55" s="1"/>
  <c r="P41" i="55" s="1"/>
  <c r="I171" i="55"/>
  <c r="J171" i="55" s="1"/>
  <c r="P171" i="55" s="1"/>
  <c r="I301" i="55"/>
  <c r="J301" i="55" s="1"/>
  <c r="P301" i="55" s="1"/>
  <c r="I292" i="55"/>
  <c r="J292" i="55" s="1"/>
  <c r="P292" i="55" s="1"/>
  <c r="I192" i="55"/>
  <c r="J192" i="55" s="1"/>
  <c r="P192" i="55" s="1"/>
  <c r="I252" i="55"/>
  <c r="J252" i="55" s="1"/>
  <c r="P252" i="55" s="1"/>
  <c r="I305" i="55"/>
  <c r="J305" i="55" s="1"/>
  <c r="P305" i="55" s="1"/>
  <c r="I193" i="55"/>
  <c r="J193" i="55" s="1"/>
  <c r="P193" i="55" s="1"/>
  <c r="I303" i="55"/>
  <c r="J303" i="55" s="1"/>
  <c r="P303" i="55" s="1"/>
  <c r="I110" i="55"/>
  <c r="J110" i="55" s="1"/>
  <c r="P110" i="55" s="1"/>
  <c r="I188" i="55"/>
  <c r="J188" i="55" s="1"/>
  <c r="P188" i="55" s="1"/>
  <c r="I43" i="55"/>
  <c r="J43" i="55" s="1"/>
  <c r="P43" i="55" s="1"/>
  <c r="I261" i="55"/>
  <c r="J261" i="55" s="1"/>
  <c r="P261" i="55" s="1"/>
  <c r="I124" i="55"/>
  <c r="J124" i="55" s="1"/>
  <c r="P124" i="55" s="1"/>
  <c r="I16" i="55"/>
  <c r="J16" i="55" s="1"/>
  <c r="P16" i="55" s="1"/>
  <c r="I115" i="55"/>
  <c r="J115" i="55" s="1"/>
  <c r="P115" i="55" s="1"/>
  <c r="I83" i="55"/>
  <c r="J83" i="55" s="1"/>
  <c r="P83" i="55" s="1"/>
  <c r="I22" i="55"/>
  <c r="J22" i="55" s="1"/>
  <c r="P22" i="55" s="1"/>
  <c r="I119" i="55"/>
  <c r="J119" i="55" s="1"/>
  <c r="P119" i="55" s="1"/>
  <c r="I15" i="55"/>
  <c r="J15" i="55" s="1"/>
  <c r="P15" i="55" s="1"/>
  <c r="I270" i="55"/>
  <c r="J270" i="55" s="1"/>
  <c r="P270" i="55" s="1"/>
  <c r="I227" i="55"/>
  <c r="J227" i="55" s="1"/>
  <c r="P227" i="55" s="1"/>
  <c r="I74" i="55"/>
  <c r="J74" i="55" s="1"/>
  <c r="P74" i="55" s="1"/>
  <c r="I64" i="55"/>
  <c r="J64" i="55" s="1"/>
  <c r="P64" i="55" s="1"/>
  <c r="I94" i="55"/>
  <c r="J94" i="55" s="1"/>
  <c r="P94" i="55" s="1"/>
  <c r="I258" i="55"/>
  <c r="J258" i="55" s="1"/>
  <c r="P258" i="55" s="1"/>
  <c r="I127" i="55"/>
  <c r="J127" i="55" s="1"/>
  <c r="P127" i="55" s="1"/>
  <c r="I245" i="55"/>
  <c r="J245" i="55" s="1"/>
  <c r="P245" i="55" s="1"/>
  <c r="I265" i="55"/>
  <c r="J265" i="55" s="1"/>
  <c r="P265" i="55" s="1"/>
  <c r="I241" i="55"/>
  <c r="J241" i="55" s="1"/>
  <c r="P241" i="55" s="1"/>
  <c r="I284" i="55"/>
  <c r="J284" i="55" s="1"/>
  <c r="P284" i="55" s="1"/>
  <c r="I68" i="55"/>
  <c r="J68" i="55" s="1"/>
  <c r="P68" i="55" s="1"/>
  <c r="I173" i="55"/>
  <c r="J173" i="55" s="1"/>
  <c r="P173" i="55" s="1"/>
  <c r="I36" i="55"/>
  <c r="J36" i="55" s="1"/>
  <c r="P36" i="55" s="1"/>
  <c r="I220" i="55"/>
  <c r="J220" i="55" s="1"/>
  <c r="P220" i="55" s="1"/>
  <c r="I11" i="55"/>
  <c r="J11" i="55" s="1"/>
  <c r="P11" i="55" s="1"/>
  <c r="I144" i="55"/>
  <c r="J144" i="55" s="1"/>
  <c r="P144" i="55" s="1"/>
  <c r="I199" i="55"/>
  <c r="J199" i="55" s="1"/>
  <c r="P199" i="55" s="1"/>
  <c r="I174" i="55"/>
  <c r="J174" i="55" s="1"/>
  <c r="P174" i="55" s="1"/>
  <c r="I123" i="55"/>
  <c r="J123" i="55" s="1"/>
  <c r="P123" i="55" s="1"/>
  <c r="I208" i="55"/>
  <c r="J208" i="55" s="1"/>
  <c r="P208" i="55" s="1"/>
  <c r="I50" i="55"/>
  <c r="J50" i="55" s="1"/>
  <c r="P50" i="55" s="1"/>
  <c r="I90" i="55"/>
  <c r="J90" i="55" s="1"/>
  <c r="P90" i="55" s="1"/>
  <c r="I79" i="55"/>
  <c r="J79" i="55" s="1"/>
  <c r="P79" i="55" s="1"/>
  <c r="I117" i="55"/>
  <c r="J117" i="55" s="1"/>
  <c r="P117" i="55" s="1"/>
  <c r="I158" i="55"/>
  <c r="J158" i="55" s="1"/>
  <c r="P158" i="55" s="1"/>
  <c r="I297" i="55"/>
  <c r="J297" i="55" s="1"/>
  <c r="P297" i="55" s="1"/>
  <c r="I23" i="55"/>
  <c r="J23" i="55" s="1"/>
  <c r="P23" i="55" s="1"/>
  <c r="I277" i="55"/>
  <c r="J277" i="55" s="1"/>
  <c r="P277" i="55" s="1"/>
  <c r="I52" i="55"/>
  <c r="J52" i="55" s="1"/>
  <c r="P52" i="55" s="1"/>
  <c r="I103" i="55"/>
  <c r="J103" i="55" s="1"/>
  <c r="P103" i="55" s="1"/>
  <c r="I221" i="55"/>
  <c r="J221" i="55" s="1"/>
  <c r="P221" i="55" s="1"/>
  <c r="I296" i="55"/>
  <c r="J296" i="55" s="1"/>
  <c r="P296" i="55" s="1"/>
  <c r="I129" i="55"/>
  <c r="J129" i="55" s="1"/>
  <c r="P129" i="55" s="1"/>
  <c r="I114" i="55"/>
  <c r="J114" i="55" s="1"/>
  <c r="P114" i="55" s="1"/>
  <c r="I20" i="55"/>
  <c r="J20" i="55" s="1"/>
  <c r="P20" i="55" s="1"/>
  <c r="I37" i="55"/>
  <c r="J37" i="55" s="1"/>
  <c r="P37" i="55" s="1"/>
  <c r="I182" i="55"/>
  <c r="J182" i="55" s="1"/>
  <c r="P182" i="55" s="1"/>
  <c r="I65" i="55"/>
  <c r="J65" i="55" s="1"/>
  <c r="P65" i="55" s="1"/>
  <c r="I69" i="55"/>
  <c r="J69" i="55" s="1"/>
  <c r="P69" i="55" s="1"/>
  <c r="I57" i="55"/>
  <c r="J57" i="55" s="1"/>
  <c r="P57" i="55" s="1"/>
  <c r="I275" i="55"/>
  <c r="J275" i="55" s="1"/>
  <c r="P275" i="55" s="1"/>
  <c r="I242" i="55"/>
  <c r="J242" i="55" s="1"/>
  <c r="P242" i="55" s="1"/>
  <c r="I229" i="55"/>
  <c r="J229" i="55" s="1"/>
  <c r="P229" i="55" s="1"/>
  <c r="I130" i="55"/>
  <c r="J130" i="55" s="1"/>
  <c r="P130" i="55" s="1"/>
  <c r="I237" i="55"/>
  <c r="J237" i="55" s="1"/>
  <c r="P237" i="55" s="1"/>
  <c r="I34" i="55"/>
  <c r="J34" i="55" s="1"/>
  <c r="P34" i="55" s="1"/>
  <c r="I249" i="55"/>
  <c r="J249" i="55" s="1"/>
  <c r="P249" i="55" s="1"/>
  <c r="I272" i="55"/>
  <c r="J272" i="55" s="1"/>
  <c r="P272" i="55" s="1"/>
  <c r="I14" i="55"/>
  <c r="J14" i="55" s="1"/>
  <c r="P14" i="55" s="1"/>
  <c r="I167" i="55"/>
  <c r="J167" i="55" s="1"/>
  <c r="P167" i="55" s="1"/>
  <c r="I111" i="55"/>
  <c r="J111" i="55" s="1"/>
  <c r="P111" i="55" s="1"/>
  <c r="I183" i="55"/>
  <c r="J183" i="55" s="1"/>
  <c r="P183" i="55" s="1"/>
  <c r="I290" i="55"/>
  <c r="J290" i="55" s="1"/>
  <c r="P290" i="55" s="1"/>
  <c r="I205" i="55"/>
  <c r="J205" i="55" s="1"/>
  <c r="P205" i="55" s="1"/>
  <c r="I73" i="55"/>
  <c r="J73" i="55" s="1"/>
  <c r="P73" i="55" s="1"/>
  <c r="I27" i="55"/>
  <c r="J27" i="55" s="1"/>
  <c r="P27" i="55" s="1"/>
  <c r="I133" i="55"/>
  <c r="J133" i="55" s="1"/>
  <c r="P133" i="55" s="1"/>
  <c r="I212" i="55"/>
  <c r="J212" i="55" s="1"/>
  <c r="P212" i="55" s="1"/>
  <c r="I24" i="55"/>
  <c r="J24" i="55" s="1"/>
  <c r="P24" i="55" s="1"/>
  <c r="I154" i="55"/>
  <c r="J154" i="55" s="1"/>
  <c r="P154" i="55" s="1"/>
  <c r="I170" i="55"/>
  <c r="J170" i="55" s="1"/>
  <c r="P170" i="55" s="1"/>
  <c r="I116" i="55"/>
  <c r="J116" i="55" s="1"/>
  <c r="P116" i="55" s="1"/>
  <c r="I48" i="55"/>
  <c r="J48" i="55" s="1"/>
  <c r="P48" i="55" s="1"/>
  <c r="I100" i="55"/>
  <c r="J100" i="55" s="1"/>
  <c r="P100" i="55" s="1"/>
  <c r="I102" i="55"/>
  <c r="J102" i="55" s="1"/>
  <c r="P102" i="55" s="1"/>
  <c r="I146" i="55"/>
  <c r="J146" i="55" s="1"/>
  <c r="P146" i="55" s="1"/>
  <c r="I175" i="55"/>
  <c r="J175" i="55" s="1"/>
  <c r="P175" i="55" s="1"/>
  <c r="I109" i="55"/>
  <c r="J109" i="55" s="1"/>
  <c r="P109" i="55" s="1"/>
  <c r="I271" i="55"/>
  <c r="J271" i="55" s="1"/>
  <c r="P271" i="55" s="1"/>
  <c r="I300" i="55"/>
  <c r="J300" i="55" s="1"/>
  <c r="P300" i="55" s="1"/>
  <c r="I53" i="55"/>
  <c r="J53" i="55" s="1"/>
  <c r="P53" i="55" s="1"/>
  <c r="I44" i="55"/>
  <c r="J44" i="55" s="1"/>
  <c r="P44" i="55" s="1"/>
  <c r="I197" i="55"/>
  <c r="J197" i="55" s="1"/>
  <c r="P197" i="55" s="1"/>
  <c r="I80" i="55"/>
  <c r="J80" i="55" s="1"/>
  <c r="P80" i="55" s="1"/>
  <c r="I138" i="55"/>
  <c r="J138" i="55" s="1"/>
  <c r="P138" i="55" s="1"/>
  <c r="I289" i="55"/>
  <c r="J289" i="55" s="1"/>
  <c r="P289" i="55" s="1"/>
  <c r="I121" i="55"/>
  <c r="J121" i="55" s="1"/>
  <c r="P121" i="55" s="1"/>
  <c r="I21" i="55"/>
  <c r="J21" i="55" s="1"/>
  <c r="P21" i="55" s="1"/>
  <c r="I215" i="55"/>
  <c r="J215" i="55" s="1"/>
  <c r="P215" i="55" s="1"/>
  <c r="I254" i="55"/>
  <c r="J254" i="55" s="1"/>
  <c r="P254" i="55" s="1"/>
  <c r="I263" i="55"/>
  <c r="J263" i="55" s="1"/>
  <c r="P263" i="55" s="1"/>
  <c r="I247" i="55"/>
  <c r="J247" i="55" s="1"/>
  <c r="P247" i="55" s="1"/>
  <c r="I54" i="55"/>
  <c r="J54" i="55" s="1"/>
  <c r="P54" i="55" s="1"/>
  <c r="I168" i="55"/>
  <c r="J168" i="55" s="1"/>
  <c r="P168" i="55" s="1"/>
  <c r="I145" i="55"/>
  <c r="J145" i="55" s="1"/>
  <c r="P145" i="55" s="1"/>
  <c r="I179" i="55"/>
  <c r="J179" i="55" s="1"/>
  <c r="P179" i="55" s="1"/>
  <c r="I132" i="55"/>
  <c r="J132" i="55" s="1"/>
  <c r="P132" i="55" s="1"/>
  <c r="I269" i="55"/>
  <c r="J269" i="55" s="1"/>
  <c r="P269" i="55" s="1"/>
  <c r="I202" i="55"/>
  <c r="J202" i="55" s="1"/>
  <c r="P202" i="55" s="1"/>
  <c r="I184" i="55"/>
  <c r="J184" i="55" s="1"/>
  <c r="P184" i="55" s="1"/>
  <c r="I262" i="55"/>
  <c r="J262" i="55" s="1"/>
  <c r="P262" i="55" s="1"/>
  <c r="I177" i="55"/>
  <c r="J177" i="55" s="1"/>
  <c r="P177" i="55" s="1"/>
  <c r="I259" i="55"/>
  <c r="J259" i="55" s="1"/>
  <c r="P259" i="55" s="1"/>
  <c r="I137" i="55"/>
  <c r="J137" i="55" s="1"/>
  <c r="P137" i="55" s="1"/>
  <c r="I294" i="55"/>
  <c r="J294" i="55" s="1"/>
  <c r="P294" i="55" s="1"/>
  <c r="I128" i="55"/>
  <c r="J128" i="55" s="1"/>
  <c r="P128" i="55" s="1"/>
  <c r="I49" i="55"/>
  <c r="J49" i="55" s="1"/>
  <c r="P49" i="55" s="1"/>
  <c r="I207" i="55"/>
  <c r="J207" i="55" s="1"/>
  <c r="P207" i="55" s="1"/>
  <c r="I93" i="55"/>
  <c r="J93" i="55" s="1"/>
  <c r="P93" i="55" s="1"/>
  <c r="I95" i="55"/>
  <c r="J95" i="55" s="1"/>
  <c r="P95" i="55" s="1"/>
  <c r="I280" i="55"/>
  <c r="J280" i="55" s="1"/>
  <c r="P280" i="55" s="1"/>
  <c r="I244" i="55"/>
  <c r="J244" i="55" s="1"/>
  <c r="P244" i="55" s="1"/>
  <c r="I105" i="55"/>
  <c r="J105" i="55" s="1"/>
  <c r="P105" i="55" s="1"/>
  <c r="I304" i="55"/>
  <c r="J304" i="55" s="1"/>
  <c r="P304" i="55" s="1"/>
  <c r="I235" i="55"/>
  <c r="J235" i="55" s="1"/>
  <c r="P235" i="55" s="1"/>
  <c r="I180" i="55"/>
  <c r="J180" i="55" s="1"/>
  <c r="P180" i="55" s="1"/>
  <c r="I281" i="55"/>
  <c r="J281" i="55" s="1"/>
  <c r="P281" i="55" s="1"/>
  <c r="I143" i="55"/>
  <c r="J143" i="55" s="1"/>
  <c r="P143" i="55" s="1"/>
  <c r="I62" i="55"/>
  <c r="J62" i="55" s="1"/>
  <c r="P62" i="55" s="1"/>
  <c r="I191" i="55"/>
  <c r="J191" i="55" s="1"/>
  <c r="P191" i="55" s="1"/>
  <c r="I255" i="55"/>
  <c r="J255" i="55" s="1"/>
  <c r="P255" i="55" s="1"/>
  <c r="I198" i="55"/>
  <c r="J198" i="55" s="1"/>
  <c r="P198" i="55" s="1"/>
  <c r="I165" i="55"/>
  <c r="J165" i="55" s="1"/>
  <c r="P165" i="55" s="1"/>
  <c r="I230" i="55"/>
  <c r="J230" i="55" s="1"/>
  <c r="P230" i="55" s="1"/>
  <c r="I279" i="55"/>
  <c r="J279" i="55" s="1"/>
  <c r="P279" i="55" s="1"/>
  <c r="I162" i="55"/>
  <c r="J162" i="55" s="1"/>
  <c r="P162" i="55" s="1"/>
  <c r="I232" i="55"/>
  <c r="J232" i="55" s="1"/>
  <c r="P232" i="55" s="1"/>
  <c r="I63" i="55"/>
  <c r="J63" i="55" s="1"/>
  <c r="P63" i="55" s="1"/>
  <c r="I222" i="55"/>
  <c r="J222" i="55" s="1"/>
  <c r="P222" i="55" s="1"/>
  <c r="I282" i="55"/>
  <c r="J282" i="55" s="1"/>
  <c r="P282" i="55" s="1"/>
  <c r="I152" i="55"/>
  <c r="J152" i="55" s="1"/>
  <c r="P152" i="55" s="1"/>
  <c r="I87" i="55"/>
  <c r="J87" i="55" s="1"/>
  <c r="P87" i="55" s="1"/>
  <c r="I45" i="55"/>
  <c r="J45" i="55" s="1"/>
  <c r="P45" i="55" s="1"/>
  <c r="I147" i="55"/>
  <c r="J147" i="55" s="1"/>
  <c r="P147" i="55" s="1"/>
  <c r="I204" i="55"/>
  <c r="J204" i="55" s="1"/>
  <c r="P204" i="55" s="1"/>
  <c r="I240" i="55"/>
  <c r="J240" i="55" s="1"/>
  <c r="P240" i="55" s="1"/>
  <c r="I201" i="55"/>
  <c r="J201" i="55" s="1"/>
  <c r="P201" i="55" s="1"/>
  <c r="I135" i="55"/>
  <c r="J135" i="55" s="1"/>
  <c r="P135" i="55" s="1"/>
  <c r="I97" i="55"/>
  <c r="J97" i="55" s="1"/>
  <c r="P97" i="55" s="1"/>
  <c r="I267" i="55"/>
  <c r="J267" i="55" s="1"/>
  <c r="P267" i="55" s="1"/>
  <c r="I125" i="55"/>
  <c r="J125" i="55" s="1"/>
  <c r="P125" i="55" s="1"/>
  <c r="I155" i="55"/>
  <c r="J155" i="55" s="1"/>
  <c r="P155" i="55" s="1"/>
  <c r="I32" i="55"/>
  <c r="J32" i="55" s="1"/>
  <c r="P32" i="55" s="1"/>
  <c r="I288" i="55"/>
  <c r="J288" i="55" s="1"/>
  <c r="P288" i="55" s="1"/>
  <c r="I225" i="55"/>
  <c r="J225" i="55" s="1"/>
  <c r="P225" i="55" s="1"/>
  <c r="I46" i="55"/>
  <c r="J46" i="55" s="1"/>
  <c r="P46" i="55" s="1"/>
  <c r="I106" i="55"/>
  <c r="J106" i="55" s="1"/>
  <c r="P106" i="55" s="1"/>
  <c r="I159" i="55"/>
  <c r="J159" i="55" s="1"/>
  <c r="P159" i="55" s="1"/>
  <c r="I28" i="55"/>
  <c r="J28" i="55" s="1"/>
  <c r="P28" i="55" s="1"/>
  <c r="I148" i="55"/>
  <c r="J148" i="55" s="1"/>
  <c r="P148" i="55" s="1"/>
  <c r="I122" i="55"/>
  <c r="J122" i="55" s="1"/>
  <c r="P122" i="55" s="1"/>
  <c r="I214" i="55"/>
  <c r="J214" i="55" s="1"/>
  <c r="P214" i="55" s="1"/>
  <c r="I30" i="55"/>
  <c r="J30" i="55" s="1"/>
  <c r="P30" i="55" s="1"/>
  <c r="I56" i="55"/>
  <c r="J56" i="55" s="1"/>
  <c r="P56" i="55" s="1"/>
  <c r="I25" i="55"/>
  <c r="J25" i="55" s="1"/>
  <c r="P25" i="55" s="1"/>
  <c r="I92" i="55"/>
  <c r="J92" i="55" s="1"/>
  <c r="P92" i="55" s="1"/>
  <c r="I274" i="55"/>
  <c r="J274" i="55" s="1"/>
  <c r="P274" i="55" s="1"/>
  <c r="I78" i="55"/>
  <c r="J78" i="55" s="1"/>
  <c r="P78" i="55" s="1"/>
  <c r="I286" i="55"/>
  <c r="J286" i="55" s="1"/>
  <c r="P286" i="55" s="1"/>
  <c r="I86" i="55"/>
  <c r="J86" i="55" s="1"/>
  <c r="P86" i="55" s="1"/>
  <c r="I77" i="55"/>
  <c r="J77" i="55" s="1"/>
  <c r="P77" i="55" s="1"/>
  <c r="I101" i="55"/>
  <c r="J101" i="55" s="1"/>
  <c r="P101" i="55" s="1"/>
  <c r="I169" i="55"/>
  <c r="J169" i="55" s="1"/>
  <c r="P169" i="55" s="1"/>
  <c r="I278" i="55"/>
  <c r="J278" i="55" s="1"/>
  <c r="P278" i="55" s="1"/>
  <c r="I276" i="55"/>
  <c r="J276" i="55" s="1"/>
  <c r="P276" i="55" s="1"/>
  <c r="I228" i="55"/>
  <c r="J228" i="55" s="1"/>
  <c r="P228" i="55" s="1"/>
  <c r="I178" i="55"/>
  <c r="J178" i="55" s="1"/>
  <c r="P178" i="55" s="1"/>
  <c r="I26" i="55"/>
  <c r="J26" i="55" s="1"/>
  <c r="P26" i="55" s="1"/>
  <c r="I196" i="55"/>
  <c r="J196" i="55" s="1"/>
  <c r="P196" i="55" s="1"/>
  <c r="I219" i="55"/>
  <c r="J219" i="55" s="1"/>
  <c r="P219" i="55" s="1"/>
  <c r="I153" i="55"/>
  <c r="J153" i="55" s="1"/>
  <c r="P153" i="55" s="1"/>
  <c r="I157" i="55"/>
  <c r="J157" i="55" s="1"/>
  <c r="P157" i="55" s="1"/>
  <c r="I217" i="55"/>
  <c r="J217" i="55" s="1"/>
  <c r="P217" i="55" s="1"/>
  <c r="I150" i="55"/>
  <c r="J150" i="55" s="1"/>
  <c r="P150" i="55" s="1"/>
  <c r="I246" i="55"/>
  <c r="J246" i="55" s="1"/>
  <c r="P246" i="55" s="1"/>
  <c r="I61" i="55"/>
  <c r="J61" i="55" s="1"/>
  <c r="P61" i="55" s="1"/>
  <c r="I89" i="55"/>
  <c r="J89" i="55" s="1"/>
  <c r="P89" i="55" s="1"/>
  <c r="I203" i="55"/>
  <c r="J203" i="55" s="1"/>
  <c r="P203" i="55" s="1"/>
  <c r="I108" i="55"/>
  <c r="J108" i="55" s="1"/>
  <c r="P108" i="55" s="1"/>
  <c r="I248" i="55"/>
  <c r="J248" i="55" s="1"/>
  <c r="P248" i="55" s="1"/>
  <c r="I70" i="55"/>
  <c r="J70" i="55" s="1"/>
  <c r="P70" i="55" s="1"/>
  <c r="I156" i="55"/>
  <c r="J156" i="55" s="1"/>
  <c r="P156" i="55" s="1"/>
  <c r="I233" i="55"/>
  <c r="J233" i="55" s="1"/>
  <c r="P233" i="55" s="1"/>
  <c r="I189" i="55"/>
  <c r="J189" i="55" s="1"/>
  <c r="P189" i="55" s="1"/>
  <c r="I18" i="55"/>
  <c r="J18" i="55" s="1"/>
  <c r="P18" i="55" s="1"/>
  <c r="I226" i="55"/>
  <c r="J226" i="55" s="1"/>
  <c r="P226" i="55" s="1"/>
  <c r="I163" i="55"/>
  <c r="J163" i="55" s="1"/>
  <c r="P163" i="55" s="1"/>
  <c r="I291" i="55"/>
  <c r="J291" i="55" s="1"/>
  <c r="P291" i="55" s="1"/>
  <c r="I99" i="55"/>
  <c r="J99" i="55" s="1"/>
  <c r="P99" i="55" s="1"/>
  <c r="I10" i="55"/>
  <c r="J10" i="55" s="1"/>
  <c r="P10" i="55" s="1"/>
  <c r="I31" i="55"/>
  <c r="J31" i="55" s="1"/>
  <c r="P31" i="55" s="1"/>
  <c r="I12" i="55"/>
  <c r="J12" i="55" s="1"/>
  <c r="P12" i="55" s="1"/>
  <c r="I195" i="55"/>
  <c r="J195" i="55" s="1"/>
  <c r="P195" i="55" s="1"/>
  <c r="I194" i="55"/>
  <c r="J194" i="55" s="1"/>
  <c r="P194" i="55" s="1"/>
  <c r="I39" i="55"/>
  <c r="J39" i="55" s="1"/>
  <c r="P39" i="55" s="1"/>
  <c r="I206" i="55"/>
  <c r="J206" i="55" s="1"/>
  <c r="P206" i="55" s="1"/>
  <c r="I186" i="55"/>
  <c r="J186" i="55" s="1"/>
  <c r="P186" i="55" s="1"/>
  <c r="I266" i="55"/>
  <c r="J266" i="55" s="1"/>
  <c r="P266" i="55" s="1"/>
  <c r="I38" i="55"/>
  <c r="J38" i="55" s="1"/>
  <c r="P38" i="55" s="1"/>
  <c r="I200" i="55"/>
  <c r="J200" i="55" s="1"/>
  <c r="P200" i="55" s="1"/>
  <c r="I213" i="55"/>
  <c r="J213" i="55" s="1"/>
  <c r="P213" i="55" s="1"/>
  <c r="I164" i="55"/>
  <c r="J164" i="55" s="1"/>
  <c r="P164" i="55" s="1"/>
  <c r="I260" i="55"/>
  <c r="J260" i="55" s="1"/>
  <c r="P260" i="55" s="1"/>
  <c r="I295" i="55"/>
  <c r="J295" i="55" s="1"/>
  <c r="P295" i="55" s="1"/>
  <c r="I166" i="55"/>
  <c r="J166" i="55" s="1"/>
  <c r="P166" i="55" s="1"/>
  <c r="I19" i="55"/>
  <c r="J19" i="55" s="1"/>
  <c r="P19" i="55" s="1"/>
  <c r="I67" i="55"/>
  <c r="J67" i="55" s="1"/>
  <c r="P67" i="55" s="1"/>
  <c r="I33" i="55"/>
  <c r="J33" i="55" s="1"/>
  <c r="P33" i="55" s="1"/>
  <c r="I98" i="55"/>
  <c r="J98" i="55" s="1"/>
  <c r="P98" i="55" s="1"/>
  <c r="I190" i="55"/>
  <c r="J190" i="55" s="1"/>
  <c r="P190" i="55" s="1"/>
  <c r="I224" i="55"/>
  <c r="J224" i="55" s="1"/>
  <c r="P224" i="55" s="1"/>
  <c r="I161" i="55"/>
  <c r="J161" i="55" s="1"/>
  <c r="P161" i="55" s="1"/>
  <c r="I257" i="55"/>
  <c r="J257" i="55" s="1"/>
  <c r="P257" i="55" s="1"/>
  <c r="I142" i="55"/>
  <c r="J142" i="55" s="1"/>
  <c r="P142" i="55" s="1"/>
  <c r="I268" i="55"/>
  <c r="J268" i="55" s="1"/>
  <c r="P268" i="55" s="1"/>
  <c r="I211" i="55"/>
  <c r="J211" i="55" s="1"/>
  <c r="P211" i="55" s="1"/>
  <c r="I66" i="55"/>
  <c r="J66" i="55" s="1"/>
  <c r="P66" i="55" s="1"/>
  <c r="I287" i="55"/>
  <c r="J287" i="55" s="1"/>
  <c r="P287" i="55" s="1"/>
  <c r="I96" i="55"/>
  <c r="J96" i="55" s="1"/>
  <c r="P96" i="55" s="1"/>
  <c r="I236" i="55"/>
  <c r="J236" i="55" s="1"/>
  <c r="P236" i="55" s="1"/>
  <c r="I273" i="55"/>
  <c r="J273" i="55" s="1"/>
  <c r="P273" i="55" s="1"/>
  <c r="I107" i="55"/>
  <c r="J107" i="55" s="1"/>
  <c r="P107" i="55" s="1"/>
  <c r="I298" i="55"/>
  <c r="J298" i="55" s="1"/>
  <c r="P298" i="55" s="1"/>
  <c r="I256" i="55"/>
  <c r="J256" i="55" s="1"/>
  <c r="P256" i="55" s="1"/>
  <c r="I210" i="55"/>
  <c r="J210" i="55" s="1"/>
  <c r="P210" i="55" s="1"/>
  <c r="I285" i="55"/>
  <c r="J285" i="55" s="1"/>
  <c r="P285" i="55" s="1"/>
  <c r="I238" i="55"/>
  <c r="J238" i="55" s="1"/>
  <c r="P238" i="55" s="1"/>
  <c r="I187" i="55"/>
  <c r="J187" i="55" s="1"/>
  <c r="P187" i="55" s="1"/>
  <c r="I172" i="55"/>
  <c r="J172" i="55" s="1"/>
  <c r="P172" i="55" s="1"/>
  <c r="I223" i="55"/>
  <c r="J223" i="55" s="1"/>
  <c r="P223" i="55" s="1"/>
  <c r="I17" i="55"/>
  <c r="J17" i="55" s="1"/>
  <c r="P17" i="55" s="1"/>
  <c r="I9" i="55"/>
  <c r="J9" i="55" s="1"/>
  <c r="P9" i="55" s="1"/>
  <c r="I55" i="55"/>
  <c r="J55" i="55" s="1"/>
  <c r="P55" i="55" s="1"/>
  <c r="I141" i="55"/>
  <c r="J141" i="55" s="1"/>
  <c r="P141" i="55" s="1"/>
  <c r="I104" i="55"/>
  <c r="J104" i="55" s="1"/>
  <c r="P104" i="55" s="1"/>
  <c r="I40" i="55"/>
  <c r="J40" i="55" s="1"/>
  <c r="P40" i="55" s="1"/>
  <c r="I126" i="55"/>
  <c r="J126" i="55" s="1"/>
  <c r="P126" i="55" s="1"/>
  <c r="I283" i="55"/>
  <c r="J283" i="55" s="1"/>
  <c r="P283" i="55" s="1"/>
  <c r="I85" i="55"/>
  <c r="J85" i="55" s="1"/>
  <c r="P85" i="55" s="1"/>
  <c r="I131" i="55"/>
  <c r="J131" i="55" s="1"/>
  <c r="P131" i="55" s="1"/>
  <c r="I136" i="55"/>
  <c r="J136" i="55" s="1"/>
  <c r="P136" i="55" s="1"/>
  <c r="I112" i="55"/>
  <c r="J112" i="55" s="1"/>
  <c r="P112" i="55" s="1"/>
  <c r="I149" i="55"/>
  <c r="J149" i="55" s="1"/>
  <c r="P149" i="55" s="1"/>
  <c r="I306" i="55"/>
  <c r="J306" i="55" s="1"/>
  <c r="P306" i="55" s="1"/>
  <c r="I82" i="55"/>
  <c r="J82" i="55" s="1"/>
  <c r="P82" i="55" s="1"/>
  <c r="I231" i="55"/>
  <c r="J231" i="55" s="1"/>
  <c r="P231" i="55" s="1"/>
  <c r="I185" i="55"/>
  <c r="J185" i="55" s="1"/>
  <c r="P185" i="55" s="1"/>
  <c r="I239" i="55"/>
  <c r="J239" i="55" s="1"/>
  <c r="P239" i="55" s="1"/>
  <c r="I76" i="55"/>
  <c r="J76" i="55" s="1"/>
  <c r="P76" i="55" s="1"/>
  <c r="I75" i="55"/>
  <c r="J75" i="55" s="1"/>
  <c r="P75" i="55" s="1"/>
  <c r="I60" i="55"/>
  <c r="J60" i="55" s="1"/>
  <c r="P60" i="55" s="1"/>
  <c r="I243" i="55"/>
  <c r="J243" i="55" s="1"/>
  <c r="P243" i="55" s="1"/>
  <c r="I209" i="55"/>
  <c r="J209" i="55" s="1"/>
  <c r="P209" i="55" s="1"/>
  <c r="I29" i="55"/>
  <c r="J29" i="55" s="1"/>
  <c r="P29" i="55" s="1"/>
  <c r="I302" i="55"/>
  <c r="J302" i="55" s="1"/>
  <c r="P302" i="55" s="1"/>
  <c r="I251" i="55"/>
  <c r="J251" i="55" s="1"/>
  <c r="P251" i="55" s="1"/>
  <c r="I160" i="55"/>
  <c r="J160" i="55" s="1"/>
  <c r="P160" i="55" s="1"/>
  <c r="I176" i="55"/>
  <c r="J176" i="55" s="1"/>
  <c r="P176" i="55" s="1"/>
  <c r="E13" i="57"/>
  <c r="I253" i="55"/>
  <c r="J253" i="55" s="1"/>
  <c r="N30" i="45"/>
  <c r="U308" i="9"/>
  <c r="P118" i="55" l="1"/>
  <c r="E10" i="57"/>
  <c r="P253" i="55"/>
  <c r="I8" i="55"/>
  <c r="V308" i="9"/>
  <c r="G11" i="50" l="1"/>
  <c r="C3" i="9"/>
  <c r="I308" i="55"/>
  <c r="J8" i="55"/>
  <c r="I309" i="9" l="1"/>
  <c r="N309" i="9"/>
  <c r="V309" i="9"/>
  <c r="G13" i="50"/>
  <c r="G5" i="50" s="1"/>
  <c r="P8" i="55"/>
  <c r="J308" i="55"/>
  <c r="D4" i="4" l="1"/>
  <c r="M36" i="45"/>
  <c r="M38" i="45"/>
  <c r="P308" i="55"/>
  <c r="D285" i="4" l="1"/>
  <c r="T285" i="55" s="1"/>
  <c r="V285" i="55" s="1"/>
  <c r="D156" i="4"/>
  <c r="T156" i="55" s="1"/>
  <c r="V156" i="55" s="1"/>
  <c r="D86" i="4"/>
  <c r="T86" i="55" s="1"/>
  <c r="V86" i="55" s="1"/>
  <c r="D21" i="4"/>
  <c r="T21" i="55" s="1"/>
  <c r="V21" i="55" s="1"/>
  <c r="D254" i="4"/>
  <c r="T254" i="55" s="1"/>
  <c r="V254" i="55" s="1"/>
  <c r="D140" i="4"/>
  <c r="T140" i="55" s="1"/>
  <c r="V140" i="55" s="1"/>
  <c r="D114" i="4"/>
  <c r="T114" i="55" s="1"/>
  <c r="V114" i="55" s="1"/>
  <c r="D290" i="4"/>
  <c r="T290" i="55" s="1"/>
  <c r="V290" i="55" s="1"/>
  <c r="D242" i="4"/>
  <c r="T242" i="55" s="1"/>
  <c r="V242" i="55" s="1"/>
  <c r="D36" i="4"/>
  <c r="T36" i="55" s="1"/>
  <c r="V36" i="55" s="1"/>
  <c r="D252" i="4"/>
  <c r="T252" i="55" s="1"/>
  <c r="V252" i="55" s="1"/>
  <c r="D190" i="4"/>
  <c r="T190" i="55" s="1"/>
  <c r="V190" i="55" s="1"/>
  <c r="D201" i="4"/>
  <c r="T201" i="55" s="1"/>
  <c r="V201" i="55" s="1"/>
  <c r="D212" i="4"/>
  <c r="T212" i="55" s="1"/>
  <c r="V212" i="55" s="1"/>
  <c r="D231" i="4"/>
  <c r="T231" i="55" s="1"/>
  <c r="V231" i="55" s="1"/>
  <c r="D168" i="4"/>
  <c r="T168" i="55" s="1"/>
  <c r="V168" i="55" s="1"/>
  <c r="D209" i="4"/>
  <c r="T209" i="55" s="1"/>
  <c r="V209" i="55" s="1"/>
  <c r="D218" i="4"/>
  <c r="T218" i="55" s="1"/>
  <c r="V218" i="55" s="1"/>
  <c r="D97" i="4"/>
  <c r="T97" i="55" s="1"/>
  <c r="V97" i="55" s="1"/>
  <c r="D100" i="4"/>
  <c r="T100" i="55" s="1"/>
  <c r="V100" i="55" s="1"/>
  <c r="D13" i="4"/>
  <c r="T13" i="55" s="1"/>
  <c r="V13" i="55" s="1"/>
  <c r="D59" i="4"/>
  <c r="T59" i="55" s="1"/>
  <c r="V59" i="55" s="1"/>
  <c r="D294" i="4"/>
  <c r="T294" i="55" s="1"/>
  <c r="V294" i="55" s="1"/>
  <c r="D284" i="4"/>
  <c r="T284" i="55" s="1"/>
  <c r="V284" i="55" s="1"/>
  <c r="D40" i="4"/>
  <c r="T40" i="55" s="1"/>
  <c r="V40" i="55" s="1"/>
  <c r="D149" i="4"/>
  <c r="T149" i="55" s="1"/>
  <c r="V149" i="55" s="1"/>
  <c r="D195" i="4"/>
  <c r="T195" i="55" s="1"/>
  <c r="V195" i="55" s="1"/>
  <c r="D206" i="4"/>
  <c r="T206" i="55" s="1"/>
  <c r="V206" i="55" s="1"/>
  <c r="D132" i="4"/>
  <c r="T132" i="55" s="1"/>
  <c r="V132" i="55" s="1"/>
  <c r="D178" i="4"/>
  <c r="T178" i="55" s="1"/>
  <c r="V178" i="55" s="1"/>
  <c r="D260" i="4"/>
  <c r="T260" i="55" s="1"/>
  <c r="V260" i="55" s="1"/>
  <c r="D226" i="4"/>
  <c r="T226" i="55" s="1"/>
  <c r="V226" i="55" s="1"/>
  <c r="D304" i="4"/>
  <c r="T304" i="55" s="1"/>
  <c r="V304" i="55" s="1"/>
  <c r="D66" i="4"/>
  <c r="T66" i="55" s="1"/>
  <c r="V66" i="55" s="1"/>
  <c r="D188" i="4"/>
  <c r="T188" i="55" s="1"/>
  <c r="V188" i="55" s="1"/>
  <c r="D306" i="4"/>
  <c r="T306" i="55" s="1"/>
  <c r="V306" i="55" s="1"/>
  <c r="D23" i="4"/>
  <c r="T23" i="55" s="1"/>
  <c r="V23" i="55" s="1"/>
  <c r="D17" i="4"/>
  <c r="T17" i="55" s="1"/>
  <c r="V17" i="55" s="1"/>
  <c r="D180" i="4"/>
  <c r="T180" i="55" s="1"/>
  <c r="V180" i="55" s="1"/>
  <c r="D159" i="4"/>
  <c r="T159" i="55" s="1"/>
  <c r="V159" i="55" s="1"/>
  <c r="D282" i="4"/>
  <c r="T282" i="55" s="1"/>
  <c r="V282" i="55" s="1"/>
  <c r="D30" i="4"/>
  <c r="T30" i="55" s="1"/>
  <c r="V30" i="55" s="1"/>
  <c r="D224" i="4"/>
  <c r="T224" i="55" s="1"/>
  <c r="V224" i="55" s="1"/>
  <c r="D57" i="4"/>
  <c r="T57" i="55" s="1"/>
  <c r="V57" i="55" s="1"/>
  <c r="D192" i="4"/>
  <c r="T192" i="55" s="1"/>
  <c r="V192" i="55" s="1"/>
  <c r="D35" i="4"/>
  <c r="T35" i="55" s="1"/>
  <c r="V35" i="55" s="1"/>
  <c r="D229" i="4"/>
  <c r="T229" i="55" s="1"/>
  <c r="V229" i="55" s="1"/>
  <c r="D39" i="4"/>
  <c r="T39" i="55" s="1"/>
  <c r="V39" i="55" s="1"/>
  <c r="D8" i="4"/>
  <c r="T8" i="55" s="1"/>
  <c r="V8" i="55" s="1"/>
  <c r="D108" i="4"/>
  <c r="T108" i="55" s="1"/>
  <c r="V108" i="55" s="1"/>
  <c r="D170" i="4"/>
  <c r="T170" i="55" s="1"/>
  <c r="V170" i="55" s="1"/>
  <c r="D41" i="4"/>
  <c r="T41" i="55" s="1"/>
  <c r="V41" i="55" s="1"/>
  <c r="D266" i="4"/>
  <c r="T266" i="55" s="1"/>
  <c r="V266" i="55" s="1"/>
  <c r="D241" i="4"/>
  <c r="T241" i="55" s="1"/>
  <c r="V241" i="55" s="1"/>
  <c r="D131" i="4"/>
  <c r="T131" i="55" s="1"/>
  <c r="V131" i="55" s="1"/>
  <c r="D263" i="4"/>
  <c r="T263" i="55" s="1"/>
  <c r="V263" i="55" s="1"/>
  <c r="D293" i="4"/>
  <c r="T293" i="55" s="1"/>
  <c r="V293" i="55" s="1"/>
  <c r="D103" i="4"/>
  <c r="T103" i="55" s="1"/>
  <c r="V103" i="55" s="1"/>
  <c r="D274" i="4"/>
  <c r="T274" i="55" s="1"/>
  <c r="V274" i="55" s="1"/>
  <c r="D232" i="4"/>
  <c r="T232" i="55" s="1"/>
  <c r="V232" i="55" s="1"/>
  <c r="D133" i="4"/>
  <c r="T133" i="55" s="1"/>
  <c r="V133" i="55" s="1"/>
  <c r="D194" i="4"/>
  <c r="T194" i="55" s="1"/>
  <c r="V194" i="55" s="1"/>
  <c r="D107" i="4"/>
  <c r="T107" i="55" s="1"/>
  <c r="V107" i="55" s="1"/>
  <c r="D153" i="4"/>
  <c r="T153" i="55" s="1"/>
  <c r="V153" i="55" s="1"/>
  <c r="D262" i="4"/>
  <c r="T262" i="55" s="1"/>
  <c r="V262" i="55" s="1"/>
  <c r="D90" i="4"/>
  <c r="T90" i="55" s="1"/>
  <c r="V90" i="55" s="1"/>
  <c r="D129" i="4"/>
  <c r="T129" i="55" s="1"/>
  <c r="V129" i="55" s="1"/>
  <c r="D45" i="4"/>
  <c r="T45" i="55" s="1"/>
  <c r="V45" i="55" s="1"/>
  <c r="D240" i="4"/>
  <c r="T240" i="55" s="1"/>
  <c r="V240" i="55" s="1"/>
  <c r="D135" i="4"/>
  <c r="T135" i="55" s="1"/>
  <c r="V135" i="55" s="1"/>
  <c r="D259" i="4"/>
  <c r="T259" i="55" s="1"/>
  <c r="V259" i="55" s="1"/>
  <c r="D270" i="4"/>
  <c r="T270" i="55" s="1"/>
  <c r="V270" i="55" s="1"/>
  <c r="D127" i="4"/>
  <c r="T127" i="55" s="1"/>
  <c r="V127" i="55" s="1"/>
  <c r="D253" i="4"/>
  <c r="T253" i="55" s="1"/>
  <c r="V253" i="55" s="1"/>
  <c r="D167" i="4"/>
  <c r="T167" i="55" s="1"/>
  <c r="V167" i="55" s="1"/>
  <c r="D267" i="4"/>
  <c r="T267" i="55" s="1"/>
  <c r="V267" i="55" s="1"/>
  <c r="D233" i="4"/>
  <c r="T233" i="55" s="1"/>
  <c r="V233" i="55" s="1"/>
  <c r="D158" i="4"/>
  <c r="T158" i="55" s="1"/>
  <c r="V158" i="55" s="1"/>
  <c r="D117" i="4"/>
  <c r="T117" i="55" s="1"/>
  <c r="V117" i="55" s="1"/>
  <c r="D305" i="4"/>
  <c r="T305" i="55" s="1"/>
  <c r="V305" i="55" s="1"/>
  <c r="D143" i="4"/>
  <c r="T143" i="55" s="1"/>
  <c r="V143" i="55" s="1"/>
  <c r="D75" i="4"/>
  <c r="T75" i="55" s="1"/>
  <c r="V75" i="55" s="1"/>
  <c r="D300" i="4"/>
  <c r="T300" i="55" s="1"/>
  <c r="V300" i="55" s="1"/>
  <c r="D210" i="4"/>
  <c r="T210" i="55" s="1"/>
  <c r="V210" i="55" s="1"/>
  <c r="D139" i="4"/>
  <c r="T139" i="55" s="1"/>
  <c r="V139" i="55" s="1"/>
  <c r="D278" i="4"/>
  <c r="T278" i="55" s="1"/>
  <c r="V278" i="55" s="1"/>
  <c r="D213" i="4"/>
  <c r="T213" i="55" s="1"/>
  <c r="V213" i="55" s="1"/>
  <c r="D50" i="4"/>
  <c r="T50" i="55" s="1"/>
  <c r="V50" i="55" s="1"/>
  <c r="D53" i="4"/>
  <c r="T53" i="55" s="1"/>
  <c r="V53" i="55" s="1"/>
  <c r="D189" i="4"/>
  <c r="T189" i="55" s="1"/>
  <c r="V189" i="55" s="1"/>
  <c r="D104" i="4"/>
  <c r="T104" i="55" s="1"/>
  <c r="V104" i="55" s="1"/>
  <c r="D137" i="4"/>
  <c r="T137" i="55" s="1"/>
  <c r="V137" i="55" s="1"/>
  <c r="D19" i="4"/>
  <c r="T19" i="55" s="1"/>
  <c r="V19" i="55" s="1"/>
  <c r="D63" i="4"/>
  <c r="T63" i="55" s="1"/>
  <c r="V63" i="55" s="1"/>
  <c r="D187" i="4"/>
  <c r="T187" i="55" s="1"/>
  <c r="V187" i="55" s="1"/>
  <c r="D58" i="4"/>
  <c r="T58" i="55" s="1"/>
  <c r="V58" i="55" s="1"/>
  <c r="D183" i="4"/>
  <c r="T183" i="55" s="1"/>
  <c r="V183" i="55" s="1"/>
  <c r="D203" i="4"/>
  <c r="T203" i="55" s="1"/>
  <c r="V203" i="55" s="1"/>
  <c r="D193" i="4"/>
  <c r="T193" i="55" s="1"/>
  <c r="V193" i="55" s="1"/>
  <c r="D79" i="4"/>
  <c r="T79" i="55" s="1"/>
  <c r="V79" i="55" s="1"/>
  <c r="D28" i="4"/>
  <c r="T28" i="55" s="1"/>
  <c r="V28" i="55" s="1"/>
  <c r="D298" i="4"/>
  <c r="T298" i="55" s="1"/>
  <c r="V298" i="55" s="1"/>
  <c r="G34" i="45"/>
  <c r="G36" i="45" s="1"/>
  <c r="G37" i="45" s="1"/>
  <c r="D205" i="4"/>
  <c r="T205" i="55" s="1"/>
  <c r="V205" i="55" s="1"/>
  <c r="D251" i="4"/>
  <c r="T251" i="55" s="1"/>
  <c r="V251" i="55" s="1"/>
  <c r="D264" i="4"/>
  <c r="T264" i="55" s="1"/>
  <c r="V264" i="55" s="1"/>
  <c r="D44" i="4"/>
  <c r="T44" i="55" s="1"/>
  <c r="V44" i="55" s="1"/>
  <c r="D292" i="4"/>
  <c r="T292" i="55" s="1"/>
  <c r="V292" i="55" s="1"/>
  <c r="D46" i="4"/>
  <c r="T46" i="55" s="1"/>
  <c r="V46" i="55" s="1"/>
  <c r="D84" i="4"/>
  <c r="T84" i="55" s="1"/>
  <c r="V84" i="55" s="1"/>
  <c r="D181" i="4"/>
  <c r="T181" i="55" s="1"/>
  <c r="V181" i="55" s="1"/>
  <c r="D80" i="4"/>
  <c r="T80" i="55" s="1"/>
  <c r="V80" i="55" s="1"/>
  <c r="D161" i="4"/>
  <c r="T161" i="55" s="1"/>
  <c r="V161" i="55" s="1"/>
  <c r="D164" i="4"/>
  <c r="T164" i="55" s="1"/>
  <c r="V164" i="55" s="1"/>
  <c r="D121" i="4"/>
  <c r="T121" i="55" s="1"/>
  <c r="V121" i="55" s="1"/>
  <c r="D261" i="4"/>
  <c r="T261" i="55" s="1"/>
  <c r="V261" i="55" s="1"/>
  <c r="D258" i="4"/>
  <c r="T258" i="55" s="1"/>
  <c r="V258" i="55" s="1"/>
  <c r="D77" i="4"/>
  <c r="T77" i="55" s="1"/>
  <c r="V77" i="55" s="1"/>
  <c r="D217" i="4"/>
  <c r="T217" i="55" s="1"/>
  <c r="V217" i="55" s="1"/>
  <c r="D297" i="4"/>
  <c r="T297" i="55" s="1"/>
  <c r="V297" i="55" s="1"/>
  <c r="D220" i="4"/>
  <c r="T220" i="55" s="1"/>
  <c r="V220" i="55" s="1"/>
  <c r="D74" i="4"/>
  <c r="T74" i="55" s="1"/>
  <c r="V74" i="55" s="1"/>
  <c r="D87" i="4"/>
  <c r="T87" i="55" s="1"/>
  <c r="V87" i="55" s="1"/>
  <c r="D186" i="4"/>
  <c r="T186" i="55" s="1"/>
  <c r="V186" i="55" s="1"/>
  <c r="D62" i="4"/>
  <c r="T62" i="55" s="1"/>
  <c r="V62" i="55" s="1"/>
  <c r="D208" i="4"/>
  <c r="T208" i="55" s="1"/>
  <c r="V208" i="55" s="1"/>
  <c r="D235" i="4"/>
  <c r="T235" i="55" s="1"/>
  <c r="V235" i="55" s="1"/>
  <c r="D93" i="4"/>
  <c r="T93" i="55" s="1"/>
  <c r="V93" i="55" s="1"/>
  <c r="D61" i="4"/>
  <c r="T61" i="55" s="1"/>
  <c r="V61" i="55" s="1"/>
  <c r="D199" i="4"/>
  <c r="T199" i="55" s="1"/>
  <c r="V199" i="55" s="1"/>
  <c r="D219" i="4"/>
  <c r="T219" i="55" s="1"/>
  <c r="V219" i="55" s="1"/>
  <c r="D38" i="4"/>
  <c r="T38" i="55" s="1"/>
  <c r="V38" i="55" s="1"/>
  <c r="D92" i="4"/>
  <c r="T92" i="55" s="1"/>
  <c r="V92" i="55" s="1"/>
  <c r="D214" i="4"/>
  <c r="T214" i="55" s="1"/>
  <c r="V214" i="55" s="1"/>
  <c r="D34" i="4"/>
  <c r="T34" i="55" s="1"/>
  <c r="V34" i="55" s="1"/>
  <c r="D82" i="4"/>
  <c r="T82" i="55" s="1"/>
  <c r="V82" i="55" s="1"/>
  <c r="D49" i="4"/>
  <c r="T49" i="55" s="1"/>
  <c r="V49" i="55" s="1"/>
  <c r="D171" i="4"/>
  <c r="T171" i="55" s="1"/>
  <c r="V171" i="55" s="1"/>
  <c r="D120" i="4"/>
  <c r="T120" i="55" s="1"/>
  <c r="V120" i="55" s="1"/>
  <c r="D48" i="4"/>
  <c r="T48" i="55" s="1"/>
  <c r="V48" i="55" s="1"/>
  <c r="D182" i="4"/>
  <c r="T182" i="55" s="1"/>
  <c r="V182" i="55" s="1"/>
  <c r="D249" i="4"/>
  <c r="T249" i="55" s="1"/>
  <c r="V249" i="55" s="1"/>
  <c r="D268" i="4"/>
  <c r="T268" i="55" s="1"/>
  <c r="V268" i="55" s="1"/>
  <c r="D126" i="4"/>
  <c r="T126" i="55" s="1"/>
  <c r="V126" i="55" s="1"/>
  <c r="D185" i="4"/>
  <c r="T185" i="55" s="1"/>
  <c r="V185" i="55" s="1"/>
  <c r="D291" i="4"/>
  <c r="T291" i="55" s="1"/>
  <c r="V291" i="55" s="1"/>
  <c r="D96" i="4"/>
  <c r="T96" i="55" s="1"/>
  <c r="V96" i="55" s="1"/>
  <c r="D136" i="4"/>
  <c r="T136" i="55" s="1"/>
  <c r="V136" i="55" s="1"/>
  <c r="D160" i="4"/>
  <c r="T160" i="55" s="1"/>
  <c r="V160" i="55" s="1"/>
  <c r="D155" i="4"/>
  <c r="T155" i="55" s="1"/>
  <c r="V155" i="55" s="1"/>
  <c r="D98" i="4"/>
  <c r="T98" i="55" s="1"/>
  <c r="V98" i="55" s="1"/>
  <c r="D227" i="4"/>
  <c r="T227" i="55" s="1"/>
  <c r="V227" i="55" s="1"/>
  <c r="D125" i="4"/>
  <c r="T125" i="55" s="1"/>
  <c r="V125" i="55" s="1"/>
  <c r="D276" i="4"/>
  <c r="T276" i="55" s="1"/>
  <c r="V276" i="55" s="1"/>
  <c r="D295" i="4"/>
  <c r="T295" i="55" s="1"/>
  <c r="V295" i="55" s="1"/>
  <c r="D116" i="4"/>
  <c r="T116" i="55" s="1"/>
  <c r="V116" i="55" s="1"/>
  <c r="D246" i="4"/>
  <c r="T246" i="55" s="1"/>
  <c r="V246" i="55" s="1"/>
  <c r="D31" i="4"/>
  <c r="T31" i="55" s="1"/>
  <c r="V31" i="55" s="1"/>
  <c r="D112" i="4"/>
  <c r="T112" i="55" s="1"/>
  <c r="V112" i="55" s="1"/>
  <c r="D299" i="4"/>
  <c r="T299" i="55" s="1"/>
  <c r="V299" i="55" s="1"/>
  <c r="D42" i="4"/>
  <c r="T42" i="55" s="1"/>
  <c r="V42" i="55" s="1"/>
  <c r="D138" i="4"/>
  <c r="T138" i="55" s="1"/>
  <c r="V138" i="55" s="1"/>
  <c r="D144" i="4"/>
  <c r="T144" i="55" s="1"/>
  <c r="V144" i="55" s="1"/>
  <c r="D279" i="4"/>
  <c r="T279" i="55" s="1"/>
  <c r="V279" i="55" s="1"/>
  <c r="D110" i="4"/>
  <c r="T110" i="55" s="1"/>
  <c r="V110" i="55" s="1"/>
  <c r="D280" i="4"/>
  <c r="T280" i="55" s="1"/>
  <c r="V280" i="55" s="1"/>
  <c r="D184" i="4"/>
  <c r="T184" i="55" s="1"/>
  <c r="V184" i="55" s="1"/>
  <c r="D111" i="4"/>
  <c r="T111" i="55" s="1"/>
  <c r="V111" i="55" s="1"/>
  <c r="D119" i="4"/>
  <c r="T119" i="55" s="1"/>
  <c r="V119" i="55" s="1"/>
  <c r="D20" i="4"/>
  <c r="T20" i="55" s="1"/>
  <c r="V20" i="55" s="1"/>
  <c r="D247" i="4"/>
  <c r="T247" i="55" s="1"/>
  <c r="V247" i="55" s="1"/>
  <c r="D22" i="4"/>
  <c r="T22" i="55" s="1"/>
  <c r="V22" i="55" s="1"/>
  <c r="D169" i="4"/>
  <c r="T169" i="55" s="1"/>
  <c r="V169" i="55" s="1"/>
  <c r="D230" i="4"/>
  <c r="T230" i="55" s="1"/>
  <c r="V230" i="55" s="1"/>
  <c r="D196" i="4"/>
  <c r="T196" i="55" s="1"/>
  <c r="V196" i="55" s="1"/>
  <c r="D148" i="4"/>
  <c r="T148" i="55" s="1"/>
  <c r="V148" i="55" s="1"/>
  <c r="D245" i="4"/>
  <c r="T245" i="55" s="1"/>
  <c r="V245" i="55" s="1"/>
  <c r="D166" i="4"/>
  <c r="T166" i="55" s="1"/>
  <c r="V166" i="55" s="1"/>
  <c r="D118" i="4"/>
  <c r="T118" i="55" s="1"/>
  <c r="V118" i="55" s="1"/>
  <c r="D175" i="4"/>
  <c r="T175" i="55" s="1"/>
  <c r="V175" i="55" s="1"/>
  <c r="D277" i="4"/>
  <c r="T277" i="55" s="1"/>
  <c r="V277" i="55" s="1"/>
  <c r="D64" i="4"/>
  <c r="T64" i="55" s="1"/>
  <c r="V64" i="55" s="1"/>
  <c r="D76" i="4"/>
  <c r="T76" i="55" s="1"/>
  <c r="V76" i="55" s="1"/>
  <c r="D250" i="4"/>
  <c r="T250" i="55" s="1"/>
  <c r="V250" i="55" s="1"/>
  <c r="D172" i="4"/>
  <c r="T172" i="55" s="1"/>
  <c r="V172" i="55" s="1"/>
  <c r="D115" i="4"/>
  <c r="T115" i="55" s="1"/>
  <c r="V115" i="55" s="1"/>
  <c r="D296" i="4"/>
  <c r="T296" i="55" s="1"/>
  <c r="V296" i="55" s="1"/>
  <c r="D54" i="4"/>
  <c r="T54" i="55" s="1"/>
  <c r="V54" i="55" s="1"/>
  <c r="D134" i="4"/>
  <c r="T134" i="55" s="1"/>
  <c r="V134" i="55" s="1"/>
  <c r="D152" i="4"/>
  <c r="T152" i="55" s="1"/>
  <c r="V152" i="55" s="1"/>
  <c r="D85" i="4"/>
  <c r="T85" i="55" s="1"/>
  <c r="V85" i="55" s="1"/>
  <c r="D122" i="4"/>
  <c r="T122" i="55" s="1"/>
  <c r="V122" i="55" s="1"/>
  <c r="D234" i="4"/>
  <c r="T234" i="55" s="1"/>
  <c r="V234" i="55" s="1"/>
  <c r="D11" i="4"/>
  <c r="T11" i="55" s="1"/>
  <c r="V11" i="55" s="1"/>
  <c r="D236" i="4"/>
  <c r="T236" i="55" s="1"/>
  <c r="V236" i="55" s="1"/>
  <c r="D273" i="4"/>
  <c r="T273" i="55" s="1"/>
  <c r="V273" i="55" s="1"/>
  <c r="D225" i="4"/>
  <c r="T225" i="55" s="1"/>
  <c r="V225" i="55" s="1"/>
  <c r="D67" i="4"/>
  <c r="T67" i="55" s="1"/>
  <c r="V67" i="55" s="1"/>
  <c r="D78" i="4"/>
  <c r="T78" i="55" s="1"/>
  <c r="V78" i="55" s="1"/>
  <c r="D56" i="4"/>
  <c r="T56" i="55" s="1"/>
  <c r="V56" i="55" s="1"/>
  <c r="D29" i="4"/>
  <c r="T29" i="55" s="1"/>
  <c r="V29" i="55" s="1"/>
  <c r="D109" i="4"/>
  <c r="T109" i="55" s="1"/>
  <c r="V109" i="55" s="1"/>
  <c r="D269" i="4"/>
  <c r="T269" i="55" s="1"/>
  <c r="V269" i="55" s="1"/>
  <c r="D221" i="4"/>
  <c r="T221" i="55" s="1"/>
  <c r="V221" i="55" s="1"/>
  <c r="D243" i="4"/>
  <c r="T243" i="55" s="1"/>
  <c r="V243" i="55" s="1"/>
  <c r="D60" i="4"/>
  <c r="T60" i="55" s="1"/>
  <c r="V60" i="55" s="1"/>
  <c r="D12" i="4"/>
  <c r="T12" i="55" s="1"/>
  <c r="V12" i="55" s="1"/>
  <c r="D216" i="4"/>
  <c r="T216" i="55" s="1"/>
  <c r="V216" i="55" s="1"/>
  <c r="D202" i="4"/>
  <c r="T202" i="55" s="1"/>
  <c r="V202" i="55" s="1"/>
  <c r="D51" i="4"/>
  <c r="T51" i="55" s="1"/>
  <c r="V51" i="55" s="1"/>
  <c r="D215" i="4"/>
  <c r="T215" i="55" s="1"/>
  <c r="V215" i="55" s="1"/>
  <c r="D123" i="4"/>
  <c r="T123" i="55" s="1"/>
  <c r="V123" i="55" s="1"/>
  <c r="D228" i="4"/>
  <c r="T228" i="55" s="1"/>
  <c r="V228" i="55" s="1"/>
  <c r="D146" i="4"/>
  <c r="T146" i="55" s="1"/>
  <c r="V146" i="55" s="1"/>
  <c r="D157" i="4"/>
  <c r="T157" i="55" s="1"/>
  <c r="V157" i="55" s="1"/>
  <c r="D307" i="4"/>
  <c r="T307" i="55" s="1"/>
  <c r="V307" i="55" s="1"/>
  <c r="D47" i="4"/>
  <c r="T47" i="55" s="1"/>
  <c r="V47" i="55" s="1"/>
  <c r="D165" i="4"/>
  <c r="T165" i="55" s="1"/>
  <c r="V165" i="55" s="1"/>
  <c r="D191" i="4"/>
  <c r="T191" i="55" s="1"/>
  <c r="V191" i="55" s="1"/>
  <c r="D99" i="4"/>
  <c r="T99" i="55" s="1"/>
  <c r="V99" i="55" s="1"/>
  <c r="D83" i="4"/>
  <c r="T83" i="55" s="1"/>
  <c r="V83" i="55" s="1"/>
  <c r="D154" i="4"/>
  <c r="T154" i="55" s="1"/>
  <c r="V154" i="55" s="1"/>
  <c r="D106" i="4"/>
  <c r="T106" i="55" s="1"/>
  <c r="V106" i="55" s="1"/>
  <c r="D151" i="4"/>
  <c r="T151" i="55" s="1"/>
  <c r="V151" i="55" s="1"/>
  <c r="D128" i="4"/>
  <c r="T128" i="55" s="1"/>
  <c r="V128" i="55" s="1"/>
  <c r="D145" i="4"/>
  <c r="T145" i="55" s="1"/>
  <c r="V145" i="55" s="1"/>
  <c r="D37" i="4"/>
  <c r="T37" i="55" s="1"/>
  <c r="V37" i="55" s="1"/>
  <c r="D14" i="4"/>
  <c r="T14" i="55" s="1"/>
  <c r="V14" i="55" s="1"/>
  <c r="D95" i="4"/>
  <c r="T95" i="55" s="1"/>
  <c r="V95" i="55" s="1"/>
  <c r="D69" i="4"/>
  <c r="T69" i="55" s="1"/>
  <c r="V69" i="55" s="1"/>
  <c r="D200" i="4"/>
  <c r="T200" i="55" s="1"/>
  <c r="V200" i="55" s="1"/>
  <c r="D237" i="4"/>
  <c r="T237" i="55" s="1"/>
  <c r="V237" i="55" s="1"/>
  <c r="D73" i="4"/>
  <c r="T73" i="55" s="1"/>
  <c r="V73" i="55" s="1"/>
  <c r="D211" i="4"/>
  <c r="T211" i="55" s="1"/>
  <c r="V211" i="55" s="1"/>
  <c r="D81" i="4"/>
  <c r="T81" i="55" s="1"/>
  <c r="V81" i="55" s="1"/>
  <c r="D33" i="4"/>
  <c r="T33" i="55" s="1"/>
  <c r="V33" i="55" s="1"/>
  <c r="D130" i="4"/>
  <c r="T130" i="55" s="1"/>
  <c r="V130" i="55" s="1"/>
  <c r="D43" i="4"/>
  <c r="T43" i="55" s="1"/>
  <c r="V43" i="55" s="1"/>
  <c r="D255" i="4"/>
  <c r="T255" i="55" s="1"/>
  <c r="V255" i="55" s="1"/>
  <c r="D18" i="4"/>
  <c r="T18" i="55" s="1"/>
  <c r="V18" i="55" s="1"/>
  <c r="D65" i="4"/>
  <c r="T65" i="55" s="1"/>
  <c r="V65" i="55" s="1"/>
  <c r="D301" i="4"/>
  <c r="T301" i="55" s="1"/>
  <c r="V301" i="55" s="1"/>
  <c r="D239" i="4"/>
  <c r="T239" i="55" s="1"/>
  <c r="V239" i="55" s="1"/>
  <c r="D32" i="4"/>
  <c r="T32" i="55" s="1"/>
  <c r="V32" i="55" s="1"/>
  <c r="D25" i="4"/>
  <c r="T25" i="55" s="1"/>
  <c r="V25" i="55" s="1"/>
  <c r="D105" i="4"/>
  <c r="T105" i="55" s="1"/>
  <c r="V105" i="55" s="1"/>
  <c r="D27" i="4"/>
  <c r="T27" i="55" s="1"/>
  <c r="V27" i="55" s="1"/>
  <c r="D286" i="4"/>
  <c r="T286" i="55" s="1"/>
  <c r="V286" i="55" s="1"/>
  <c r="D94" i="4"/>
  <c r="T94" i="55" s="1"/>
  <c r="V94" i="55" s="1"/>
  <c r="D88" i="4"/>
  <c r="T88" i="55" s="1"/>
  <c r="V88" i="55" s="1"/>
  <c r="D256" i="4"/>
  <c r="T256" i="55" s="1"/>
  <c r="V256" i="55" s="1"/>
  <c r="D275" i="4"/>
  <c r="T275" i="55" s="1"/>
  <c r="V275" i="55" s="1"/>
  <c r="D142" i="4"/>
  <c r="T142" i="55" s="1"/>
  <c r="V142" i="55" s="1"/>
  <c r="D244" i="4"/>
  <c r="T244" i="55" s="1"/>
  <c r="V244" i="55" s="1"/>
  <c r="D15" i="4"/>
  <c r="T15" i="55" s="1"/>
  <c r="V15" i="55" s="1"/>
  <c r="D173" i="4"/>
  <c r="T173" i="55" s="1"/>
  <c r="V173" i="55" s="1"/>
  <c r="D16" i="4"/>
  <c r="T16" i="55" s="1"/>
  <c r="V16" i="55" s="1"/>
  <c r="D223" i="4"/>
  <c r="T223" i="55" s="1"/>
  <c r="V223" i="55" s="1"/>
  <c r="D289" i="4"/>
  <c r="T289" i="55" s="1"/>
  <c r="V289" i="55" s="1"/>
  <c r="D72" i="4"/>
  <c r="T72" i="55" s="1"/>
  <c r="V72" i="55" s="1"/>
  <c r="D147" i="4"/>
  <c r="T147" i="55" s="1"/>
  <c r="V147" i="55" s="1"/>
  <c r="D68" i="4"/>
  <c r="T68" i="55" s="1"/>
  <c r="V68" i="55" s="1"/>
  <c r="D174" i="4"/>
  <c r="T174" i="55" s="1"/>
  <c r="V174" i="55" s="1"/>
  <c r="D222" i="4"/>
  <c r="T222" i="55" s="1"/>
  <c r="V222" i="55" s="1"/>
  <c r="D272" i="4"/>
  <c r="T272" i="55" s="1"/>
  <c r="V272" i="55" s="1"/>
  <c r="D91" i="4"/>
  <c r="T91" i="55" s="1"/>
  <c r="V91" i="55" s="1"/>
  <c r="D55" i="4"/>
  <c r="T55" i="55" s="1"/>
  <c r="V55" i="55" s="1"/>
  <c r="D163" i="4"/>
  <c r="T163" i="55" s="1"/>
  <c r="V163" i="55" s="1"/>
  <c r="D177" i="4"/>
  <c r="T177" i="55" s="1"/>
  <c r="V177" i="55" s="1"/>
  <c r="D283" i="4"/>
  <c r="T283" i="55" s="1"/>
  <c r="V283" i="55" s="1"/>
  <c r="D150" i="4"/>
  <c r="T150" i="55" s="1"/>
  <c r="V150" i="55" s="1"/>
  <c r="D271" i="4"/>
  <c r="T271" i="55" s="1"/>
  <c r="V271" i="55" s="1"/>
  <c r="D24" i="4"/>
  <c r="T24" i="55" s="1"/>
  <c r="V24" i="55" s="1"/>
  <c r="D265" i="4"/>
  <c r="T265" i="55" s="1"/>
  <c r="V265" i="55" s="1"/>
  <c r="D302" i="4"/>
  <c r="T302" i="55" s="1"/>
  <c r="V302" i="55" s="1"/>
  <c r="D204" i="4"/>
  <c r="T204" i="55" s="1"/>
  <c r="V204" i="55" s="1"/>
  <c r="D89" i="4"/>
  <c r="T89" i="55" s="1"/>
  <c r="V89" i="55" s="1"/>
  <c r="D113" i="4"/>
  <c r="T113" i="55" s="1"/>
  <c r="D141" i="4"/>
  <c r="T141" i="55" s="1"/>
  <c r="V141" i="55" s="1"/>
  <c r="D281" i="4"/>
  <c r="T281" i="55" s="1"/>
  <c r="V281" i="55" s="1"/>
  <c r="D248" i="4"/>
  <c r="T248" i="55" s="1"/>
  <c r="V248" i="55" s="1"/>
  <c r="D102" i="4"/>
  <c r="T102" i="55" s="1"/>
  <c r="V102" i="55" s="1"/>
  <c r="D198" i="4"/>
  <c r="T198" i="55" s="1"/>
  <c r="V198" i="55" s="1"/>
  <c r="D26" i="4"/>
  <c r="T26" i="55" s="1"/>
  <c r="V26" i="55" s="1"/>
  <c r="D71" i="4"/>
  <c r="T71" i="55" s="1"/>
  <c r="V71" i="55" s="1"/>
  <c r="D101" i="4"/>
  <c r="T101" i="55" s="1"/>
  <c r="V101" i="55" s="1"/>
  <c r="D288" i="4"/>
  <c r="T288" i="55" s="1"/>
  <c r="V288" i="55" s="1"/>
  <c r="D10" i="4"/>
  <c r="T10" i="55" s="1"/>
  <c r="V10" i="55" s="1"/>
  <c r="D162" i="4"/>
  <c r="T162" i="55" s="1"/>
  <c r="V162" i="55" s="1"/>
  <c r="D52" i="4"/>
  <c r="T52" i="55" s="1"/>
  <c r="V52" i="55" s="1"/>
  <c r="D9" i="4"/>
  <c r="T9" i="55" s="1"/>
  <c r="V9" i="55" s="1"/>
  <c r="D124" i="4"/>
  <c r="T124" i="55" s="1"/>
  <c r="V124" i="55" s="1"/>
  <c r="D257" i="4"/>
  <c r="T257" i="55" s="1"/>
  <c r="V257" i="55" s="1"/>
  <c r="D287" i="4"/>
  <c r="T287" i="55" s="1"/>
  <c r="V287" i="55" s="1"/>
  <c r="D176" i="4"/>
  <c r="T176" i="55" s="1"/>
  <c r="V176" i="55" s="1"/>
  <c r="D207" i="4"/>
  <c r="T207" i="55" s="1"/>
  <c r="V207" i="55" s="1"/>
  <c r="D70" i="4"/>
  <c r="T70" i="55" s="1"/>
  <c r="V70" i="55" s="1"/>
  <c r="D303" i="4"/>
  <c r="T303" i="55" s="1"/>
  <c r="V303" i="55" s="1"/>
  <c r="D238" i="4"/>
  <c r="T238" i="55" s="1"/>
  <c r="V238" i="55" s="1"/>
  <c r="D197" i="4"/>
  <c r="T197" i="55" s="1"/>
  <c r="V197" i="55" s="1"/>
  <c r="D179" i="4"/>
  <c r="T179" i="55" s="1"/>
  <c r="V179" i="55" s="1"/>
  <c r="V113" i="55" l="1"/>
  <c r="V308" i="55" s="1"/>
  <c r="V6" i="55" s="1"/>
  <c r="E24" i="57"/>
  <c r="E30" i="57" s="1"/>
  <c r="T308" i="55"/>
  <c r="D3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M6" authorId="0" shapeId="0" xr:uid="{1A288582-A281-4FC3-9CE1-3D5075966818}">
      <text>
        <r>
          <rPr>
            <sz val="9"/>
            <color indexed="81"/>
            <rFont val="Tahoma"/>
            <family val="2"/>
          </rPr>
          <t xml:space="preserve">Les données 2024 contiennent les amendes fiscales PP, car basées sur l'ancienne loi. Pour les acomptes 2026, cette colonne soustrait ces amendes, car elles ne doivent plus être considérées selon LPIV.
</t>
        </r>
      </text>
    </comment>
    <comment ref="N6" authorId="0" shapeId="0" xr:uid="{470D24FF-58CA-4D97-B111-5E24E76583A0}">
      <text>
        <r>
          <rPr>
            <sz val="9"/>
            <color indexed="81"/>
            <rFont val="Tahoma"/>
            <family val="2"/>
          </rPr>
          <t>À ce stade, aucun montant GLOBE n'est attendu.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N7" authorId="0" shapeId="0" xr:uid="{AC4A5CC0-97C0-4110-9E3F-CBD296414321}">
      <text>
        <r>
          <rPr>
            <sz val="9"/>
            <color indexed="81"/>
            <rFont val="Tahoma"/>
            <family val="2"/>
          </rPr>
          <t xml:space="preserve">Attention : sera mis à jour jusqu'au décompte 2025, ensuite deviendra fixe.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<sst xmlns="http://schemas.openxmlformats.org/spreadsheetml/2006/main" count="1068" uniqueCount="584">
  <si>
    <t>OFS</t>
  </si>
  <si>
    <t>Communes</t>
  </si>
  <si>
    <t>Péréquation des ressources</t>
  </si>
  <si>
    <t>Impôt sur le revenu</t>
  </si>
  <si>
    <t>Impôt sur la fortune</t>
  </si>
  <si>
    <t>Impôt sur le bénéfice</t>
  </si>
  <si>
    <t>Impôt sur le capital</t>
  </si>
  <si>
    <t>Impôt sur la dépense</t>
  </si>
  <si>
    <t>Impôt à la source</t>
  </si>
  <si>
    <t>Impôt foncier</t>
  </si>
  <si>
    <t>À verser (+) ou à recevoir (-)</t>
  </si>
  <si>
    <t>Dotation minimale</t>
  </si>
  <si>
    <t>Net</t>
  </si>
  <si>
    <t>À recevoir</t>
  </si>
  <si>
    <t>À payer</t>
  </si>
  <si>
    <t>Taux</t>
  </si>
  <si>
    <t>p/hab</t>
  </si>
  <si>
    <t>Impôt foncier standardisé</t>
  </si>
  <si>
    <t>Impôts avec taux standardisé</t>
  </si>
  <si>
    <t>Taux standard impôt foncier</t>
  </si>
  <si>
    <t>Prélèvements conjoncturels</t>
  </si>
  <si>
    <t>Total</t>
  </si>
  <si>
    <t>Bas</t>
  </si>
  <si>
    <t>Haut</t>
  </si>
  <si>
    <t>Police</t>
  </si>
  <si>
    <t>Totaux</t>
  </si>
  <si>
    <t>-</t>
  </si>
  <si>
    <t>Autres</t>
  </si>
  <si>
    <t>Forfait</t>
  </si>
  <si>
    <t>Population</t>
  </si>
  <si>
    <t>Surface productive</t>
  </si>
  <si>
    <t>Solidarité</t>
  </si>
  <si>
    <t>Péréquation des besoins structurels</t>
  </si>
  <si>
    <t>Facture policière</t>
  </si>
  <si>
    <t>Participation à la cohésion sociale (PCS)</t>
  </si>
  <si>
    <t>Imputation forfaitaire</t>
  </si>
  <si>
    <t>Pondération</t>
  </si>
  <si>
    <t>Redistribution par habitant</t>
  </si>
  <si>
    <t>Droits de mutation</t>
  </si>
  <si>
    <t>Successions et donations</t>
  </si>
  <si>
    <t>Gains immobiliers</t>
  </si>
  <si>
    <t>Frontaliers</t>
  </si>
  <si>
    <t>Elèves</t>
  </si>
  <si>
    <t>Elèves pondérés</t>
  </si>
  <si>
    <t>Pertes débiteurs</t>
  </si>
  <si>
    <t>Hectares excédentaires</t>
  </si>
  <si>
    <t>Paramètre (p)</t>
  </si>
  <si>
    <t>Médiane * p</t>
  </si>
  <si>
    <t>Moyenne * p</t>
  </si>
  <si>
    <t>Population à l'interieur du palier</t>
  </si>
  <si>
    <t>Paliers de population</t>
  </si>
  <si>
    <t>Montant</t>
  </si>
  <si>
    <t>Surface de référence</t>
  </si>
  <si>
    <t>Elèves pondérés de référence</t>
  </si>
  <si>
    <t>Impôts récupérés après défalcation</t>
  </si>
  <si>
    <t>Impôt imm. des sociétés</t>
  </si>
  <si>
    <t>Coefficient moyen pondéré</t>
  </si>
  <si>
    <t>Revenu fiscal standardisé</t>
  </si>
  <si>
    <t>Moyenne</t>
  </si>
  <si>
    <t xml:space="preserve">Ecart à la moyenne </t>
  </si>
  <si>
    <t>Population
pondérée</t>
  </si>
  <si>
    <t>Population des
délégatrices</t>
  </si>
  <si>
    <t>Socle sécuritaire commun</t>
  </si>
  <si>
    <t>Part délégatrices selon population</t>
  </si>
  <si>
    <t>Part délégatrices selon population pondérée</t>
  </si>
  <si>
    <t>Revenu fiscal standardisé (RFS)</t>
  </si>
  <si>
    <t>Aigle</t>
  </si>
  <si>
    <t>Morges</t>
  </si>
  <si>
    <t>Nyon</t>
  </si>
  <si>
    <t>Lausanne</t>
  </si>
  <si>
    <t>Le Mont-sur-Lausanne</t>
  </si>
  <si>
    <t>Cette commune a un revenu fiscal standardisé par habitant de CHF</t>
  </si>
  <si>
    <t>Le revenu fiscal standardisé par habitant moyen est de CHF</t>
  </si>
  <si>
    <t>L'écart est de CHF</t>
  </si>
  <si>
    <t>Population :</t>
  </si>
  <si>
    <t>Avant péréquation des ressources, le revenu fiscal standardisé par habitant de cette commune exprimé en pourcent du revenu fiscal standardisé par habitant moyen était de</t>
  </si>
  <si>
    <t>En montant absolu, cela répresente CHF</t>
  </si>
  <si>
    <t>Mutrux</t>
  </si>
  <si>
    <r>
      <t xml:space="preserve">Péréquation des besoins structurels </t>
    </r>
    <r>
      <rPr>
        <i/>
        <sz val="13"/>
        <color theme="1"/>
        <rFont val="Calibri"/>
        <family val="2"/>
        <scheme val="minor"/>
      </rPr>
      <t>(surface productive)</t>
    </r>
  </si>
  <si>
    <t>Cette commune a une surface productive (en hectares) de</t>
  </si>
  <si>
    <r>
      <t xml:space="preserve">Péréquation des besoins structurels </t>
    </r>
    <r>
      <rPr>
        <i/>
        <sz val="13"/>
        <color theme="1"/>
        <rFont val="Calibri"/>
        <family val="2"/>
        <scheme val="minor"/>
      </rPr>
      <t>(élèves pondérés)</t>
    </r>
  </si>
  <si>
    <t>Cette commune compte le nombre suivant d'élèves</t>
  </si>
  <si>
    <t>Nombre</t>
  </si>
  <si>
    <t>Population entre 0 et 1'000</t>
  </si>
  <si>
    <t>Population entre 1'001 et 3'000</t>
  </si>
  <si>
    <t>Population entre 3'001 et 12'000</t>
  </si>
  <si>
    <t>Population entre 12'001 et 15'000</t>
  </si>
  <si>
    <t>Population entre 15'001 et 30'000</t>
  </si>
  <si>
    <t>Population entre 30'001 et 45'000</t>
  </si>
  <si>
    <t>Population au-délà de 45'000</t>
  </si>
  <si>
    <t>Montant p/hab</t>
  </si>
  <si>
    <t>Les montants versés par la couche population sont financés par l'ensemble des communes avec une répartition en francs par habitant. La contribution de cette commune est de CHF</t>
  </si>
  <si>
    <r>
      <t xml:space="preserve">Charges particulières des villes </t>
    </r>
    <r>
      <rPr>
        <i/>
        <sz val="13"/>
        <color theme="1"/>
        <rFont val="Calibri"/>
        <family val="2"/>
        <scheme val="minor"/>
      </rPr>
      <t>(couche population)</t>
    </r>
  </si>
  <si>
    <r>
      <t xml:space="preserve">Charges particulières des villes </t>
    </r>
    <r>
      <rPr>
        <i/>
        <sz val="13"/>
        <color theme="1"/>
        <rFont val="Calibri"/>
        <family val="2"/>
        <scheme val="minor"/>
      </rPr>
      <t>(déficits des lignes de trafic urbain)</t>
    </r>
  </si>
  <si>
    <t>La participation de cette commune au financement des déficits des lignes de trafic urbain, comme définies dans la LMTP, est de CHF</t>
  </si>
  <si>
    <t>Les montants versés par cette compensation sont financés par l'ensemble des communes avec une répartition en francs par habitant. La contribution de cette commune est de CHF</t>
  </si>
  <si>
    <t>En francs par habitant, le montant de la PCS est de CHF</t>
  </si>
  <si>
    <t>Le montant total de la facture policière est de CHF</t>
  </si>
  <si>
    <t>35% de la facture correspond au socle sécuritaire commun. Il est pris en charge par l'ensemble des communes. En francs par habitant, le montant de ce socle commun est de CHF</t>
  </si>
  <si>
    <t>Après les effets du rééquilibrage financier en faveur des communes, le montant total de la PCS à charge des communes est de CHF</t>
  </si>
  <si>
    <t>NB : les montants en vert sont à recevoir et les montants en rouge à verser</t>
  </si>
  <si>
    <t>Château-d'Oex</t>
  </si>
  <si>
    <t>Ursins</t>
  </si>
  <si>
    <t>Yverdon-les-Bains</t>
  </si>
  <si>
    <t>Payerne</t>
  </si>
  <si>
    <t>Bex</t>
  </si>
  <si>
    <t>Chessel</t>
  </si>
  <si>
    <t>Corbeyrier</t>
  </si>
  <si>
    <t>Gryon</t>
  </si>
  <si>
    <t>Lavey-Morcles</t>
  </si>
  <si>
    <t>Leysin</t>
  </si>
  <si>
    <t>Noville</t>
  </si>
  <si>
    <t>Ollon</t>
  </si>
  <si>
    <t>Ormont-Dessous</t>
  </si>
  <si>
    <t>Ormont-Dessus</t>
  </si>
  <si>
    <t>Rennaz</t>
  </si>
  <si>
    <t>Roche</t>
  </si>
  <si>
    <t>Villeneuve</t>
  </si>
  <si>
    <t>Yvorne</t>
  </si>
  <si>
    <t>Aubonne</t>
  </si>
  <si>
    <t>Berolle</t>
  </si>
  <si>
    <t>Bière</t>
  </si>
  <si>
    <t>Bougy-Villars</t>
  </si>
  <si>
    <t>Féchy</t>
  </si>
  <si>
    <t>Gimel</t>
  </si>
  <si>
    <t>Longirod</t>
  </si>
  <si>
    <t>Marchissy</t>
  </si>
  <si>
    <t>Mollens</t>
  </si>
  <si>
    <t>Saint-George</t>
  </si>
  <si>
    <t>Saint-Livres</t>
  </si>
  <si>
    <t>Saint-Oyens</t>
  </si>
  <si>
    <t>Saubraz</t>
  </si>
  <si>
    <t>Avenches</t>
  </si>
  <si>
    <t>Cudrefin</t>
  </si>
  <si>
    <t>Faoug</t>
  </si>
  <si>
    <t>Vully-les-Lacs</t>
  </si>
  <si>
    <t>Bettens</t>
  </si>
  <si>
    <t>Bournens</t>
  </si>
  <si>
    <t>Boussens</t>
  </si>
  <si>
    <t>La Chaux (Cossonay)</t>
  </si>
  <si>
    <t>Chavannes-le-Veyron</t>
  </si>
  <si>
    <t>Chevilly</t>
  </si>
  <si>
    <t>Cossonay</t>
  </si>
  <si>
    <t>Cuarnens</t>
  </si>
  <si>
    <t>Daillens</t>
  </si>
  <si>
    <t>Dizy</t>
  </si>
  <si>
    <t>Eclépens</t>
  </si>
  <si>
    <t>Ferreyres</t>
  </si>
  <si>
    <t>Gollion</t>
  </si>
  <si>
    <t>Grancy</t>
  </si>
  <si>
    <t>L'Isle</t>
  </si>
  <si>
    <t>Lussery-Villars</t>
  </si>
  <si>
    <t>Mauraz</t>
  </si>
  <si>
    <t>Mex</t>
  </si>
  <si>
    <t>Moiry</t>
  </si>
  <si>
    <t>Mont-la-Ville</t>
  </si>
  <si>
    <t>Montricher</t>
  </si>
  <si>
    <t>Orny</t>
  </si>
  <si>
    <t>Penthalaz</t>
  </si>
  <si>
    <t>Penthaz</t>
  </si>
  <si>
    <t>Pompaples</t>
  </si>
  <si>
    <t>La Sarraz</t>
  </si>
  <si>
    <t>Senarclens</t>
  </si>
  <si>
    <t>Sullens</t>
  </si>
  <si>
    <t>Vufflens-la-Ville</t>
  </si>
  <si>
    <t>Assens</t>
  </si>
  <si>
    <t>Bercher</t>
  </si>
  <si>
    <t>Bottens</t>
  </si>
  <si>
    <t>Bretigny-sur-Morrens</t>
  </si>
  <si>
    <t>Cugy</t>
  </si>
  <si>
    <t>Echallens</t>
  </si>
  <si>
    <t>Essertines-sur-Yverdon</t>
  </si>
  <si>
    <t>Etagnières</t>
  </si>
  <si>
    <t>Fey</t>
  </si>
  <si>
    <t>Froideville</t>
  </si>
  <si>
    <t>Morrens</t>
  </si>
  <si>
    <t>Oulens-sous-Echallens</t>
  </si>
  <si>
    <t>Pailly</t>
  </si>
  <si>
    <t>Penthéréaz</t>
  </si>
  <si>
    <t>Poliez-Pittet</t>
  </si>
  <si>
    <t>Rueyres</t>
  </si>
  <si>
    <t>Saint-Barthélemy</t>
  </si>
  <si>
    <t>Villars-le-Terroir</t>
  </si>
  <si>
    <t>Vuarrens</t>
  </si>
  <si>
    <t>Montilliez</t>
  </si>
  <si>
    <t>Goumoëns</t>
  </si>
  <si>
    <t>Bonvillars</t>
  </si>
  <si>
    <t>Bullet</t>
  </si>
  <si>
    <t>Champagne</t>
  </si>
  <si>
    <t>Concise</t>
  </si>
  <si>
    <t>Corcelles-près-Concise</t>
  </si>
  <si>
    <t>Fiez</t>
  </si>
  <si>
    <t>Fontaines-sur-Grandson</t>
  </si>
  <si>
    <t>Giez</t>
  </si>
  <si>
    <t>Grandevent</t>
  </si>
  <si>
    <t>Grandson</t>
  </si>
  <si>
    <t>Mauborget</t>
  </si>
  <si>
    <t>Novalles</t>
  </si>
  <si>
    <t>Onnens</t>
  </si>
  <si>
    <t>Provence</t>
  </si>
  <si>
    <t>Sainte-Croix</t>
  </si>
  <si>
    <t>Tévenon</t>
  </si>
  <si>
    <t>Belmont-sur-Lausanne</t>
  </si>
  <si>
    <t>Cheseaux-sur-Lausanne</t>
  </si>
  <si>
    <t>Crissier</t>
  </si>
  <si>
    <t>Epalinges</t>
  </si>
  <si>
    <t>Jouxtens-Mézery</t>
  </si>
  <si>
    <t>Paudex</t>
  </si>
  <si>
    <t>Prilly</t>
  </si>
  <si>
    <t>Pully</t>
  </si>
  <si>
    <t>Renens</t>
  </si>
  <si>
    <t>Romanel-sur-Lausanne</t>
  </si>
  <si>
    <t>Chexbres</t>
  </si>
  <si>
    <t>Forel (Lavaux)</t>
  </si>
  <si>
    <t>Lutry</t>
  </si>
  <si>
    <t>Puidoux</t>
  </si>
  <si>
    <t>Rivaz</t>
  </si>
  <si>
    <t>St-Saphorin (Lavaux)</t>
  </si>
  <si>
    <t>Savigny</t>
  </si>
  <si>
    <t>Bourg-en-Lavaux</t>
  </si>
  <si>
    <t>Aclens</t>
  </si>
  <si>
    <t>Bremblens</t>
  </si>
  <si>
    <t>Buchillon</t>
  </si>
  <si>
    <t>Bussigny</t>
  </si>
  <si>
    <t>Chavannes-près-Renens</t>
  </si>
  <si>
    <t>Chigny</t>
  </si>
  <si>
    <t>Clarmont</t>
  </si>
  <si>
    <t>Denens</t>
  </si>
  <si>
    <t>Denges</t>
  </si>
  <si>
    <t>Echandens</t>
  </si>
  <si>
    <t>Echichens</t>
  </si>
  <si>
    <t>Ecublens</t>
  </si>
  <si>
    <t>Etoy</t>
  </si>
  <si>
    <t>Lavigny</t>
  </si>
  <si>
    <t>Lonay</t>
  </si>
  <si>
    <t>Lully</t>
  </si>
  <si>
    <t>Lussy-sur-Morges</t>
  </si>
  <si>
    <t>Préverenges</t>
  </si>
  <si>
    <t>Romanel-sur-Morges</t>
  </si>
  <si>
    <t>Saint-Prex</t>
  </si>
  <si>
    <t>Saint-Sulpice</t>
  </si>
  <si>
    <t>Tolochenaz</t>
  </si>
  <si>
    <t>Vaux-sur-Morges</t>
  </si>
  <si>
    <t>Villars-Sainte-Croix</t>
  </si>
  <si>
    <t>Villars-sous-Yens</t>
  </si>
  <si>
    <t>Vufflens-le-Château</t>
  </si>
  <si>
    <t>Vullierens</t>
  </si>
  <si>
    <t>Yens</t>
  </si>
  <si>
    <t>Hautemorges</t>
  </si>
  <si>
    <t>Boulens</t>
  </si>
  <si>
    <t>Bussy-sur-Moudon</t>
  </si>
  <si>
    <t>Chavannes-sur-Moudon</t>
  </si>
  <si>
    <t>Curtilles</t>
  </si>
  <si>
    <t>Dompierre</t>
  </si>
  <si>
    <t>Hermenches</t>
  </si>
  <si>
    <t>Lovatens</t>
  </si>
  <si>
    <t>Lucens</t>
  </si>
  <si>
    <t>Moudon</t>
  </si>
  <si>
    <t>Ogens</t>
  </si>
  <si>
    <t>Prévonloup</t>
  </si>
  <si>
    <t>Rossenges</t>
  </si>
  <si>
    <t>Syens</t>
  </si>
  <si>
    <t>Villars-le-Comte</t>
  </si>
  <si>
    <t>Vucherens</t>
  </si>
  <si>
    <t>Montanaire</t>
  </si>
  <si>
    <t>Arnex-sur-Nyon</t>
  </si>
  <si>
    <t>Arzier-Le Muids</t>
  </si>
  <si>
    <t>Begnins</t>
  </si>
  <si>
    <t>Bogis-Bossey</t>
  </si>
  <si>
    <t>Borex</t>
  </si>
  <si>
    <t>Chavannes-de-Bogis</t>
  </si>
  <si>
    <t>Chavannes-des-Bois</t>
  </si>
  <si>
    <t>Chéserex</t>
  </si>
  <si>
    <t>Coinsins</t>
  </si>
  <si>
    <t>Commugny</t>
  </si>
  <si>
    <t>Coppet</t>
  </si>
  <si>
    <t>Crans</t>
  </si>
  <si>
    <t>Crassier</t>
  </si>
  <si>
    <t>Duillier</t>
  </si>
  <si>
    <t>Eysins</t>
  </si>
  <si>
    <t>Founex</t>
  </si>
  <si>
    <t>Genolier</t>
  </si>
  <si>
    <t>Gingins</t>
  </si>
  <si>
    <t>Givrins</t>
  </si>
  <si>
    <t>Gland</t>
  </si>
  <si>
    <t>Grens</t>
  </si>
  <si>
    <t>Mies</t>
  </si>
  <si>
    <t>Prangins</t>
  </si>
  <si>
    <t>La Rippe</t>
  </si>
  <si>
    <t>Saint-Cergue</t>
  </si>
  <si>
    <t>Signy-Avenex</t>
  </si>
  <si>
    <t>Tannay</t>
  </si>
  <si>
    <t>Trélex</t>
  </si>
  <si>
    <t>Le Vaud</t>
  </si>
  <si>
    <t>Vich</t>
  </si>
  <si>
    <t>L'Abergement</t>
  </si>
  <si>
    <t>Agiez</t>
  </si>
  <si>
    <t>Arnex-sur-Orbe</t>
  </si>
  <si>
    <t>Ballaigues</t>
  </si>
  <si>
    <t>Baulmes</t>
  </si>
  <si>
    <t>Bavois</t>
  </si>
  <si>
    <t>Bofflens</t>
  </si>
  <si>
    <t>Bretonnières</t>
  </si>
  <si>
    <t>Chavornay</t>
  </si>
  <si>
    <t>Les Clées</t>
  </si>
  <si>
    <t>Croy</t>
  </si>
  <si>
    <t>Juriens</t>
  </si>
  <si>
    <t>Lignerolle</t>
  </si>
  <si>
    <t>Montcherand</t>
  </si>
  <si>
    <t>Orbe</t>
  </si>
  <si>
    <t>La Praz</t>
  </si>
  <si>
    <t>Premier</t>
  </si>
  <si>
    <t>Rances</t>
  </si>
  <si>
    <t>Romainmôtier-Envy</t>
  </si>
  <si>
    <t>Sergey</t>
  </si>
  <si>
    <t>Valeyres-sous-Rances</t>
  </si>
  <si>
    <t>Vallorbe</t>
  </si>
  <si>
    <t>Vaulion</t>
  </si>
  <si>
    <t>Vuiteboeuf</t>
  </si>
  <si>
    <t>Corcelles-le-Jorat</t>
  </si>
  <si>
    <t>Maracon</t>
  </si>
  <si>
    <t>Montpreveyres</t>
  </si>
  <si>
    <t>Ropraz</t>
  </si>
  <si>
    <t>Servion</t>
  </si>
  <si>
    <t>Vulliens</t>
  </si>
  <si>
    <t>Jorat-Menthue</t>
  </si>
  <si>
    <t>Oron</t>
  </si>
  <si>
    <t>Jorat-Mézières</t>
  </si>
  <si>
    <t>Champtauroz</t>
  </si>
  <si>
    <t>Chevroux</t>
  </si>
  <si>
    <t>Corcelles-près-Payerne</t>
  </si>
  <si>
    <t>Grandcour</t>
  </si>
  <si>
    <t>Henniez</t>
  </si>
  <si>
    <t>Missy</t>
  </si>
  <si>
    <t>Trey</t>
  </si>
  <si>
    <t>Treytorrens (Payerne)</t>
  </si>
  <si>
    <t>Villarzel</t>
  </si>
  <si>
    <t>Valbroye</t>
  </si>
  <si>
    <t>Rossinière</t>
  </si>
  <si>
    <t>Rougemont</t>
  </si>
  <si>
    <t>Allaman</t>
  </si>
  <si>
    <t>Bursinel</t>
  </si>
  <si>
    <t>Bursins</t>
  </si>
  <si>
    <t>Burtigny</t>
  </si>
  <si>
    <t>Dully</t>
  </si>
  <si>
    <t>Essertines-sur-Rolle</t>
  </si>
  <si>
    <t>Gilly</t>
  </si>
  <si>
    <t>Luins</t>
  </si>
  <si>
    <t>Mont-sur-Rolle</t>
  </si>
  <si>
    <t>Perroy</t>
  </si>
  <si>
    <t>Rolle</t>
  </si>
  <si>
    <t>Tartegnin</t>
  </si>
  <si>
    <t>Vinzel</t>
  </si>
  <si>
    <t>L'Abbaye</t>
  </si>
  <si>
    <t>Le Chenit</t>
  </si>
  <si>
    <t>Le Lieu</t>
  </si>
  <si>
    <t>Chardonne</t>
  </si>
  <si>
    <t>Corseaux</t>
  </si>
  <si>
    <t>Corsier-sur-Vevey</t>
  </si>
  <si>
    <t>Jongny</t>
  </si>
  <si>
    <t>Montreux</t>
  </si>
  <si>
    <t>La Tour-de-Peilz</t>
  </si>
  <si>
    <t>Vevey</t>
  </si>
  <si>
    <t>Veytaux</t>
  </si>
  <si>
    <t>Blonay-Saint-Légier</t>
  </si>
  <si>
    <t>Belmont-sur-Yverdon</t>
  </si>
  <si>
    <t>Bioley-Magnoux</t>
  </si>
  <si>
    <t>Chamblon</t>
  </si>
  <si>
    <t>Champvent</t>
  </si>
  <si>
    <t>Chavannes-le-Chêne</t>
  </si>
  <si>
    <t>Chêne-Pâquier</t>
  </si>
  <si>
    <t>Cheseaux-Noréaz</t>
  </si>
  <si>
    <t>Cronay</t>
  </si>
  <si>
    <t>Cuarny</t>
  </si>
  <si>
    <t>Démoret</t>
  </si>
  <si>
    <t>Donneloye</t>
  </si>
  <si>
    <t>Ependes</t>
  </si>
  <si>
    <t>Mathod</t>
  </si>
  <si>
    <t>Molondin</t>
  </si>
  <si>
    <t>Montagny-près-Yverdon</t>
  </si>
  <si>
    <t>Oppens</t>
  </si>
  <si>
    <t>Orges</t>
  </si>
  <si>
    <t>Orzens</t>
  </si>
  <si>
    <t>Pomy</t>
  </si>
  <si>
    <t>Rovray</t>
  </si>
  <si>
    <t>Suchy</t>
  </si>
  <si>
    <t>Suscévaz</t>
  </si>
  <si>
    <t>Treycovagnes</t>
  </si>
  <si>
    <t>Valeyres-sous-Montagny</t>
  </si>
  <si>
    <t>Valeyres-sous-Ursins</t>
  </si>
  <si>
    <t>Villars-Epeney</t>
  </si>
  <si>
    <t>Vugelles-La Mothe</t>
  </si>
  <si>
    <t>Yvonand</t>
  </si>
  <si>
    <t>Commune :</t>
  </si>
  <si>
    <t>2020/2025</t>
  </si>
  <si>
    <t>…dont distants</t>
  </si>
  <si>
    <r>
      <t xml:space="preserve">Le nombre d'élèves </t>
    </r>
    <r>
      <rPr>
        <sz val="11"/>
        <color rgb="FF00B0F0"/>
        <rFont val="Calibri"/>
        <family val="2"/>
        <scheme val="minor"/>
      </rPr>
      <t>pondéré</t>
    </r>
    <r>
      <rPr>
        <sz val="11"/>
        <color theme="1"/>
        <rFont val="Calibri"/>
        <family val="2"/>
        <scheme val="minor"/>
      </rPr>
      <t xml:space="preserve"> de la commune est de</t>
    </r>
  </si>
  <si>
    <t>Paramètres</t>
  </si>
  <si>
    <t>Participation à la cohésion sociale</t>
  </si>
  <si>
    <t>Données</t>
  </si>
  <si>
    <t>Taux de compensation</t>
  </si>
  <si>
    <t>% de la moyenne</t>
  </si>
  <si>
    <t>RFS p/hab</t>
  </si>
  <si>
    <t>IPC juin 2021</t>
  </si>
  <si>
    <t>Pourcentage de prélèvement</t>
  </si>
  <si>
    <t>Montant de la facture policière</t>
  </si>
  <si>
    <t>Forfait indexé</t>
  </si>
  <si>
    <t>Pondération élèves distants</t>
  </si>
  <si>
    <t>Forfait par hectare</t>
  </si>
  <si>
    <t>Forfait par élève</t>
  </si>
  <si>
    <t>Forfait p/hab en altitude</t>
  </si>
  <si>
    <t>Ballens</t>
  </si>
  <si>
    <t>Bassins</t>
  </si>
  <si>
    <t>Communes de A à Z</t>
  </si>
  <si>
    <t>Population en altitude</t>
  </si>
  <si>
    <t>Contrôle</t>
  </si>
  <si>
    <t>Altitude de référence</t>
  </si>
  <si>
    <t>Territoire en pente</t>
  </si>
  <si>
    <t>Compensation</t>
  </si>
  <si>
    <t>Lignes de trafic urbain</t>
  </si>
  <si>
    <t>Couche population</t>
  </si>
  <si>
    <t>Facturation (+) / défacturation (-) ad hoc</t>
  </si>
  <si>
    <t>Vue d'ensemble</t>
  </si>
  <si>
    <t>Déficits des lignes de trafic urbain</t>
  </si>
  <si>
    <t>(Dé-)facturation ad hoc</t>
  </si>
  <si>
    <t>Le nombre d'élèves domiciliés à plus de 2,5 km de leur école (distance effective par chemins et/ou routes) est en revanche de</t>
  </si>
  <si>
    <r>
      <t xml:space="preserve">Péréquation des ressources </t>
    </r>
    <r>
      <rPr>
        <i/>
        <sz val="13"/>
        <color theme="1"/>
        <rFont val="Calibri"/>
        <family val="2"/>
        <scheme val="minor"/>
      </rPr>
      <t>(dotation minimale)</t>
    </r>
  </si>
  <si>
    <t>Compensation des charges particulières des villes</t>
  </si>
  <si>
    <r>
      <t xml:space="preserve">Péréquation des ressources </t>
    </r>
    <r>
      <rPr>
        <i/>
        <sz val="13"/>
        <color theme="1"/>
        <rFont val="Calibri"/>
        <family val="2"/>
        <scheme val="minor"/>
      </rPr>
      <t>(Prélèvements conjoncturels)</t>
    </r>
  </si>
  <si>
    <r>
      <t xml:space="preserve">Péréquation des ressources </t>
    </r>
    <r>
      <rPr>
        <i/>
        <sz val="13"/>
        <color theme="1"/>
        <rFont val="Calibri"/>
        <family val="2"/>
        <scheme val="minor"/>
      </rPr>
      <t>(solidarité principale)</t>
    </r>
  </si>
  <si>
    <t>Solidarité principale</t>
  </si>
  <si>
    <r>
      <t xml:space="preserve">Péréquation des besoins structurels </t>
    </r>
    <r>
      <rPr>
        <i/>
        <sz val="13"/>
        <color theme="1"/>
        <rFont val="Calibri"/>
        <family val="2"/>
        <scheme val="minor"/>
      </rPr>
      <t>(population en altitude)</t>
    </r>
  </si>
  <si>
    <r>
      <rPr>
        <b/>
        <sz val="8"/>
        <color theme="1"/>
        <rFont val="Calibri"/>
        <family val="2"/>
        <scheme val="minor"/>
      </rPr>
      <t xml:space="preserve">Revenu fiscal standardisé (RFS)
</t>
    </r>
    <r>
      <rPr>
        <sz val="8"/>
        <color theme="1"/>
        <rFont val="Calibri"/>
        <family val="2"/>
        <scheme val="minor"/>
      </rPr>
      <t>Recettes fiscales que la commune générerait en
appliquant le coefficient d'imposition moyen pondéré
et un taux standard d'impôt foncier de 1‰</t>
    </r>
  </si>
  <si>
    <t>Part du territoire avec déclivité &gt; 35%</t>
  </si>
  <si>
    <t>Surface par habitant</t>
  </si>
  <si>
    <t>Elèves par habitant</t>
  </si>
  <si>
    <t>Le nombre de personnes résidant en altitude de la commune est de</t>
  </si>
  <si>
    <r>
      <rPr>
        <b/>
        <sz val="8"/>
        <color theme="1"/>
        <rFont val="Calibri"/>
        <family val="2"/>
        <scheme val="minor"/>
      </rPr>
      <t xml:space="preserve">Personne résidant en altitude
</t>
    </r>
    <r>
      <rPr>
        <sz val="8"/>
        <color theme="1"/>
        <rFont val="Calibri"/>
        <family val="2"/>
        <scheme val="minor"/>
      </rPr>
      <t>Personne domiciliée dans la commune dont le lieu de
résidence principale est sis à une altitude de 730m ou plus</t>
    </r>
  </si>
  <si>
    <t>Année</t>
  </si>
  <si>
    <t>Objet</t>
  </si>
  <si>
    <t>Imputation forfaitaire (IIES)</t>
  </si>
  <si>
    <t>Contrôle = 0</t>
  </si>
  <si>
    <t>← Précédent</t>
  </si>
  <si>
    <t>Table des matières</t>
  </si>
  <si>
    <t>Suivant →</t>
  </si>
  <si>
    <t>Répartitions de charges</t>
  </si>
  <si>
    <t>R</t>
  </si>
  <si>
    <t>B</t>
  </si>
  <si>
    <t>V</t>
  </si>
  <si>
    <t>Péréquation des ressources (R)</t>
  </si>
  <si>
    <t>Péréquation des besoins structurels (B)</t>
  </si>
  <si>
    <t>Compensation des charges des villes (V)</t>
  </si>
  <si>
    <t>Péréquation intercommunale</t>
  </si>
  <si>
    <t>Synthèse</t>
  </si>
  <si>
    <t>Paramètre</t>
  </si>
  <si>
    <r>
      <t xml:space="preserve">Détail du rééquilibrage financier </t>
    </r>
    <r>
      <rPr>
        <sz val="9"/>
        <color theme="1"/>
        <rFont val="Calibri"/>
        <family val="2"/>
        <scheme val="minor"/>
      </rPr>
      <t>(art. 17b LOF)</t>
    </r>
  </si>
  <si>
    <r>
      <t>Facture policière</t>
    </r>
    <r>
      <rPr>
        <sz val="9"/>
        <color theme="1"/>
        <rFont val="Calibri"/>
        <family val="2"/>
        <scheme val="minor"/>
      </rPr>
      <t xml:space="preserve"> (art. 45 LOPV)</t>
    </r>
  </si>
  <si>
    <r>
      <t xml:space="preserve">Facture 2025 </t>
    </r>
    <r>
      <rPr>
        <sz val="9"/>
        <color theme="1"/>
        <rFont val="Calibri"/>
        <family val="2"/>
        <scheme val="minor"/>
      </rPr>
      <t>(al. 1)</t>
    </r>
  </si>
  <si>
    <r>
      <t xml:space="preserve">Indexation annuelle </t>
    </r>
    <r>
      <rPr>
        <sz val="9"/>
        <color theme="1"/>
        <rFont val="Calibri"/>
        <family val="2"/>
        <scheme val="minor"/>
      </rPr>
      <t>(al. 1)</t>
    </r>
  </si>
  <si>
    <r>
      <t xml:space="preserve">Socle commun </t>
    </r>
    <r>
      <rPr>
        <sz val="9"/>
        <color theme="1"/>
        <rFont val="Calibri"/>
        <family val="2"/>
        <scheme val="minor"/>
      </rPr>
      <t>(al. 2 let. b)</t>
    </r>
  </si>
  <si>
    <r>
      <t xml:space="preserve">Selon population </t>
    </r>
    <r>
      <rPr>
        <sz val="9"/>
        <color theme="1"/>
        <rFont val="Calibri"/>
        <family val="2"/>
        <scheme val="minor"/>
      </rPr>
      <t>(al. 3 let. a)</t>
    </r>
  </si>
  <si>
    <r>
      <t xml:space="preserve">Selon population pondérée </t>
    </r>
    <r>
      <rPr>
        <sz val="9"/>
        <color theme="1"/>
        <rFont val="Calibri"/>
        <family val="2"/>
        <scheme val="minor"/>
      </rPr>
      <t>(al. 3 let. b)</t>
    </r>
  </si>
  <si>
    <r>
      <t xml:space="preserve">Compensation transitoire </t>
    </r>
    <r>
      <rPr>
        <sz val="9"/>
        <color theme="1"/>
        <rFont val="Calibri"/>
        <family val="2"/>
        <scheme val="minor"/>
      </rPr>
      <t>(selon décret)</t>
    </r>
  </si>
  <si>
    <t>LOF</t>
  </si>
  <si>
    <t>LOPV</t>
  </si>
  <si>
    <t>Décret</t>
  </si>
  <si>
    <r>
      <t xml:space="preserve">Couche population </t>
    </r>
    <r>
      <rPr>
        <sz val="9"/>
        <color theme="1"/>
        <rFont val="Calibri"/>
        <family val="2"/>
        <scheme val="minor"/>
      </rPr>
      <t>(art. 15 LPIV)</t>
    </r>
    <r>
      <rPr>
        <b/>
        <sz val="12"/>
        <color theme="1"/>
        <rFont val="Calibri"/>
        <family val="2"/>
        <scheme val="minor"/>
      </rPr>
      <t xml:space="preserve"> et population pondérée pour la facture policière </t>
    </r>
    <r>
      <rPr>
        <sz val="9"/>
        <color theme="1"/>
        <rFont val="Calibri"/>
        <family val="2"/>
        <scheme val="minor"/>
      </rPr>
      <t xml:space="preserve"> (art. 45 al. 3 let. b LOPV)</t>
    </r>
  </si>
  <si>
    <t>Compensation des charges des villes</t>
  </si>
  <si>
    <t>Synthèse et recherche</t>
  </si>
  <si>
    <t>Données de base</t>
  </si>
  <si>
    <t>Paramètres et données</t>
  </si>
  <si>
    <t>N° OFS :</t>
  </si>
  <si>
    <t>La part du territoire de cette commune avec une déclivité de 35% ou plus est de</t>
  </si>
  <si>
    <t>Facture
policière</t>
  </si>
  <si>
    <t>Péréquation
des besoins</t>
  </si>
  <si>
    <t>Péréquation
des ressources</t>
  </si>
  <si>
    <t>Compensation
des villes</t>
  </si>
  <si>
    <t>Compensation
transitoire</t>
  </si>
  <si>
    <t>Péréquation au sens strict</t>
  </si>
  <si>
    <r>
      <t xml:space="preserve">Total du rééquilibrage </t>
    </r>
    <r>
      <rPr>
        <sz val="9"/>
        <color theme="1"/>
        <rFont val="Calibri"/>
        <family val="2"/>
        <scheme val="minor"/>
      </rPr>
      <t>(al. 1)</t>
    </r>
  </si>
  <si>
    <t>Pondération police</t>
  </si>
  <si>
    <t>Population
en altitude</t>
  </si>
  <si>
    <t>Année des données (surface)</t>
  </si>
  <si>
    <t>C</t>
  </si>
  <si>
    <t>À recevoir (arrondi)</t>
  </si>
  <si>
    <t>Total péréquation et factures cantonales</t>
  </si>
  <si>
    <t>N° OFS</t>
  </si>
  <si>
    <t>Détail par commune</t>
  </si>
  <si>
    <t>PCS</t>
  </si>
  <si>
    <t>Total de la péréquation des besoins structurels</t>
  </si>
  <si>
    <t>Compensation transitoire (C)</t>
  </si>
  <si>
    <t>Montant en CHF</t>
  </si>
  <si>
    <t>Pond.</t>
  </si>
  <si>
    <t>Gestion système</t>
  </si>
  <si>
    <t>à recevoir (arrondi)</t>
  </si>
  <si>
    <t>Contrôle égaux</t>
  </si>
  <si>
    <t>Contrôle moyenne</t>
  </si>
  <si>
    <t>RFS p/hab
avec solidarité</t>
  </si>
  <si>
    <t>Montant de la participation à répartir entre les communes en fonction de leur population</t>
  </si>
  <si>
    <t>Synthèse par commune</t>
  </si>
  <si>
    <t>Compensation "surface productive"</t>
  </si>
  <si>
    <t>Compensation "population en altitude"</t>
  </si>
  <si>
    <t>Compensation "elèves pondérés"</t>
  </si>
  <si>
    <t>Compensation des déficits des lignes de trafic urbain</t>
  </si>
  <si>
    <t>Compensation des charges particulières des villes (V)</t>
  </si>
  <si>
    <t>Total Péréquation (R + B + V + C)</t>
  </si>
  <si>
    <t>Paramètrage de la feuille de calcul et références aux bases légales</t>
  </si>
  <si>
    <t>Données concernant toutes les communes utilisées dans les calculs</t>
  </si>
  <si>
    <t>Calcul du revenu fiscal standardisé à la base de la péréquation des ressources</t>
  </si>
  <si>
    <t>Répartition de charges faisant participer les communes au financement des dépenses engagées par le canton en faveur de la cohésion sociale</t>
  </si>
  <si>
    <t>Synthèse des transferts générés par la péréquation et les répartitions de charges</t>
  </si>
  <si>
    <t>Synthèse des transferts pour une commune au choix</t>
  </si>
  <si>
    <t>Illustration détaillée des transferts pour une commune au choix</t>
  </si>
  <si>
    <t>Répartition de charges relatives aux missions générales de police (MGP) accomplies par la police cantonale en faveur et / ou à la place des communes</t>
  </si>
  <si>
    <t>Total péréquation et factures cantonales :</t>
  </si>
  <si>
    <t>Compensation transitoire</t>
  </si>
  <si>
    <t>Pop. pondérée des délégatrices</t>
  </si>
  <si>
    <t>RLPIV</t>
  </si>
  <si>
    <t>Population à l'intérieur du palier</t>
  </si>
  <si>
    <r>
      <t xml:space="preserve">Participation à la cohésion sociale </t>
    </r>
    <r>
      <rPr>
        <sz val="9"/>
        <color theme="1"/>
        <rFont val="Calibri"/>
        <family val="2"/>
        <scheme val="minor"/>
      </rPr>
      <t>(art. 17 LOF)</t>
    </r>
  </si>
  <si>
    <t>Avec police (référence 2025)</t>
  </si>
  <si>
    <t>par habitant (délégatrices)</t>
  </si>
  <si>
    <t>par habitant pondéré (délégatrices)</t>
  </si>
  <si>
    <t>par habitant (canton)</t>
  </si>
  <si>
    <r>
      <t xml:space="preserve">Reprise PCS </t>
    </r>
    <r>
      <rPr>
        <sz val="9"/>
        <color theme="1"/>
        <rFont val="Calibri"/>
        <family val="2"/>
        <scheme val="minor"/>
      </rPr>
      <t>(al. 2 let. a)</t>
    </r>
  </si>
  <si>
    <r>
      <t xml:space="preserve">Reprise AAS </t>
    </r>
    <r>
      <rPr>
        <sz val="9"/>
        <color theme="1"/>
        <rFont val="Calibri"/>
        <family val="2"/>
        <scheme val="minor"/>
      </rPr>
      <t>(al. 2 let. b)</t>
    </r>
  </si>
  <si>
    <r>
      <t xml:space="preserve">Péréquation verticale </t>
    </r>
    <r>
      <rPr>
        <sz val="9"/>
        <color theme="1"/>
        <rFont val="Calibri"/>
        <family val="2"/>
        <scheme val="minor"/>
      </rPr>
      <t>(al. 2 let. d)</t>
    </r>
  </si>
  <si>
    <r>
      <t xml:space="preserve">Solde à déduire de la PCS </t>
    </r>
    <r>
      <rPr>
        <sz val="9"/>
        <color theme="1"/>
        <rFont val="Calibri"/>
        <family val="2"/>
        <scheme val="minor"/>
      </rPr>
      <t>(al. 3)</t>
    </r>
  </si>
  <si>
    <t>Pilier de la péréquation visant à atténuer les disparités fiscales entre les communes consécutives à des différences de capacité financière</t>
  </si>
  <si>
    <t>RFFA</t>
  </si>
  <si>
    <t>Montant brut (avant rééquilibrage)</t>
  </si>
  <si>
    <t>Montant net (après rééquilibrage)</t>
  </si>
  <si>
    <r>
      <t>Besoins structurels : surface productive</t>
    </r>
    <r>
      <rPr>
        <b/>
        <sz val="10"/>
        <color theme="1"/>
        <rFont val="Calibri"/>
        <family val="2"/>
        <scheme val="minor"/>
      </rPr>
      <t xml:space="preserve"> </t>
    </r>
    <r>
      <rPr>
        <sz val="9"/>
        <color theme="1"/>
        <rFont val="Calibri"/>
        <family val="2"/>
        <scheme val="minor"/>
      </rPr>
      <t>(art. 11 LPIC)</t>
    </r>
  </si>
  <si>
    <r>
      <t>Besoins structurels : altitude / déclivité</t>
    </r>
    <r>
      <rPr>
        <sz val="12"/>
        <color theme="1"/>
        <rFont val="Calibri"/>
        <family val="2"/>
        <scheme val="minor"/>
      </rPr>
      <t xml:space="preserve"> </t>
    </r>
    <r>
      <rPr>
        <sz val="9"/>
        <color theme="1"/>
        <rFont val="Calibri"/>
        <family val="2"/>
        <scheme val="minor"/>
      </rPr>
      <t>(art. 12 LPIC)</t>
    </r>
  </si>
  <si>
    <r>
      <t xml:space="preserve">Besoins structurels : élèves pondérés </t>
    </r>
    <r>
      <rPr>
        <sz val="9"/>
        <color theme="1"/>
        <rFont val="Calibri"/>
        <family val="2"/>
        <scheme val="minor"/>
      </rPr>
      <t>(art. 13 LPIC)</t>
    </r>
  </si>
  <si>
    <r>
      <t xml:space="preserve">Lignes de trafic urbain </t>
    </r>
    <r>
      <rPr>
        <sz val="9"/>
        <color theme="1"/>
        <rFont val="Calibri"/>
        <family val="2"/>
        <scheme val="minor"/>
      </rPr>
      <t>(art. 14 LPIC)</t>
    </r>
  </si>
  <si>
    <r>
      <rPr>
        <sz val="11"/>
        <color theme="1"/>
        <rFont val="Calibri"/>
        <family val="2"/>
        <scheme val="minor"/>
      </rPr>
      <t>Base 12.2020</t>
    </r>
    <r>
      <rPr>
        <i/>
        <sz val="9"/>
        <color theme="1"/>
        <rFont val="Calibri"/>
        <family val="2"/>
        <scheme val="minor"/>
      </rPr>
      <t xml:space="preserve">  </t>
    </r>
    <r>
      <rPr>
        <sz val="9"/>
        <color theme="1"/>
        <rFont val="Calibri"/>
        <family val="2"/>
        <scheme val="minor"/>
      </rPr>
      <t>(Art. 19 al. 3 LPIC)</t>
    </r>
  </si>
  <si>
    <r>
      <t xml:space="preserve">Taux de solidarité </t>
    </r>
    <r>
      <rPr>
        <sz val="9"/>
        <color theme="1"/>
        <rFont val="Calibri"/>
        <family val="2"/>
        <scheme val="minor"/>
      </rPr>
      <t>(art. 6 LPIC)</t>
    </r>
  </si>
  <si>
    <r>
      <t xml:space="preserve">Dotation minimale </t>
    </r>
    <r>
      <rPr>
        <sz val="9"/>
        <color theme="1"/>
        <rFont val="Calibri"/>
        <family val="2"/>
        <scheme val="minor"/>
      </rPr>
      <t>(art. 7 LPIC)</t>
    </r>
  </si>
  <si>
    <r>
      <t xml:space="preserve">Taux standard impôt foncier
</t>
    </r>
    <r>
      <rPr>
        <sz val="9"/>
        <color theme="1"/>
        <rFont val="Calibri"/>
        <family val="2"/>
        <scheme val="minor"/>
      </rPr>
      <t>(art. 2 al. 1 let. a LPIC)</t>
    </r>
  </si>
  <si>
    <r>
      <t xml:space="preserve">Droits de mutation, gains immobiliers, successions/donations </t>
    </r>
    <r>
      <rPr>
        <sz val="9"/>
        <color theme="1"/>
        <rFont val="Calibri"/>
        <family val="2"/>
        <scheme val="minor"/>
      </rPr>
      <t xml:space="preserve">(art. 8 al. 1 let. a LPIC) </t>
    </r>
  </si>
  <si>
    <r>
      <t xml:space="preserve">Frontaliers </t>
    </r>
    <r>
      <rPr>
        <sz val="9"/>
        <color theme="1"/>
        <rFont val="Calibri"/>
        <family val="2"/>
        <scheme val="minor"/>
      </rPr>
      <t>(art. 8 al. 1 let. b LPIC)</t>
    </r>
  </si>
  <si>
    <r>
      <t xml:space="preserve">Gestion du système </t>
    </r>
    <r>
      <rPr>
        <sz val="9"/>
        <color theme="1"/>
        <rFont val="Calibri"/>
        <family val="2"/>
        <scheme val="minor"/>
      </rPr>
      <t>(art. 27 LPIC)</t>
    </r>
  </si>
  <si>
    <t>Loi du 24 novembre 2003 sur l'organisation et le financement de la politique sociale</t>
  </si>
  <si>
    <t>Loi du 13 septembre 2011 sur l'organisation policière vaudoise</t>
  </si>
  <si>
    <t>Décret du 4 juin 2024 octroyant une compensation transitoire aux communes désavantagées par le nouveau système</t>
  </si>
  <si>
    <t>Loi du 4 juin 2024 sur la péréquation intercommunale</t>
  </si>
  <si>
    <t>Part des communes délégatrices</t>
  </si>
  <si>
    <t xml:space="preserve"> Pilier de la péréquation visant à atténuer les disparités de charges entre les communes dues à des facteurs structurels (surface productive, population en altitude et élèves)</t>
  </si>
  <si>
    <t>Décompte prévisionnel</t>
  </si>
  <si>
    <t>Total recettes</t>
  </si>
  <si>
    <t>Déficit à compenser</t>
  </si>
  <si>
    <t>Déficit du trafic urbain (budget)</t>
  </si>
  <si>
    <t>Déficit du trafic urbain (solde)</t>
  </si>
  <si>
    <t>dont</t>
  </si>
  <si>
    <t>en raison des éléves distants</t>
  </si>
  <si>
    <t>en raison du nombre d'élèves</t>
  </si>
  <si>
    <t>Règlement du 15 janvier 2025 d'application de la loi sur la péréquation intercommunale</t>
  </si>
  <si>
    <t>Manco</t>
  </si>
  <si>
    <t>Cible</t>
  </si>
  <si>
    <t>Recettes fiscales</t>
  </si>
  <si>
    <t>Autres données</t>
  </si>
  <si>
    <t>Taux impôt foncier</t>
  </si>
  <si>
    <t>RFS par habitant (commune)</t>
  </si>
  <si>
    <t>Données par commune</t>
  </si>
  <si>
    <t>Impôt immeubles des sociétés</t>
  </si>
  <si>
    <t>Elèves distants</t>
  </si>
  <si>
    <t>Compensation RFFA</t>
  </si>
  <si>
    <t>Corrections (amendes fiscales)</t>
  </si>
  <si>
    <t>Total des recettes fiscales</t>
  </si>
  <si>
    <t>Rendement fiscal standardisé (RFS)</t>
  </si>
  <si>
    <t>Elèves scolarisés</t>
  </si>
  <si>
    <t>Coefficient communal</t>
  </si>
  <si>
    <t>Taux d'imposition fiscaux</t>
  </si>
  <si>
    <t>Revenus corrigés des éléments extraordinaires</t>
  </si>
  <si>
    <t>Synthèse des données de référence par commune</t>
  </si>
  <si>
    <t>Pilier de la péréquation tenant compte des charges particulières des villes à travers
une compensation progressive en fonction de la population et une compensation proportionnelle aux déficits des lignes de trafic urbain</t>
  </si>
  <si>
    <t>Les prélèvements sur les impôts conjoncturels de l'ensemble des communes sont répartis entre elles en francs par habitant. Cette commune a donc droit à un montant de CHF</t>
  </si>
  <si>
    <t>Corrections (amendes)</t>
  </si>
  <si>
    <t>RFS par habitant (moyenne cantonale)</t>
  </si>
  <si>
    <t>Effet nouvelle clé de répartition (17%)</t>
  </si>
  <si>
    <t>LPIV</t>
  </si>
  <si>
    <t>Compensation p/hab en altitude</t>
  </si>
  <si>
    <t>Elèves à compenser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</si>
</sst>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 &quot;CHF&quot;"/>
    <numFmt numFmtId="168" formatCode="#,##0_ ;\-#,##0\ "/>
    <numFmt numFmtId="169" formatCode="#,##0.000"/>
    <numFmt numFmtId="170" formatCode="0.000"/>
  </numFmts>
  <fonts count="6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sz val="9"/>
      <color indexed="81"/>
      <name val="Tahoma"/>
      <family val="2"/>
    </font>
    <font>
      <sz val="11"/>
      <name val="Calibri"/>
      <family val="2"/>
      <scheme val="minor"/>
    </font>
    <font>
      <b/>
      <sz val="11"/>
      <name val="Calibri"/>
      <family val="2"/>
      <scheme val="minor"/>
    </font>
    <font>
      <sz val="8"/>
      <color theme="1"/>
      <name val="Calibri"/>
      <family val="2"/>
      <scheme val="minor"/>
    </font>
    <font>
      <sz val="11"/>
      <color rgb="FFFF0000"/>
      <name val="Calibri"/>
      <family val="2"/>
      <scheme val="minor"/>
    </font>
    <font>
      <sz val="10"/>
      <color theme="1"/>
      <name val="Calibri"/>
      <family val="2"/>
      <scheme val="minor"/>
    </font>
    <font>
      <sz val="11"/>
      <color theme="1"/>
      <name val="Arial"/>
      <family val="2"/>
    </font>
    <font>
      <u/>
      <sz val="11"/>
      <color theme="10"/>
      <name val="Calibri"/>
      <family val="2"/>
      <scheme val="minor"/>
    </font>
    <font>
      <sz val="10"/>
      <name val="Arial"/>
      <family val="2"/>
    </font>
    <font>
      <sz val="9"/>
      <color theme="1"/>
      <name val="Calibri"/>
      <family val="2"/>
      <scheme val="minor"/>
    </font>
    <font>
      <sz val="12"/>
      <color theme="1"/>
      <name val="Calibri"/>
      <family val="2"/>
      <scheme val="minor"/>
    </font>
    <font>
      <sz val="11"/>
      <color theme="1"/>
      <name val="Calibri"/>
      <family val="2"/>
      <charset val="1"/>
      <scheme val="minor"/>
    </font>
    <font>
      <sz val="11"/>
      <color indexed="8"/>
      <name val="Calibri"/>
      <family val="2"/>
    </font>
    <font>
      <sz val="11"/>
      <color rgb="FFFF00FF"/>
      <name val="Calibri"/>
      <family val="2"/>
      <scheme val="minor"/>
    </font>
    <font>
      <b/>
      <sz val="8"/>
      <color theme="1"/>
      <name val="Calibri"/>
      <family val="2"/>
      <scheme val="minor"/>
    </font>
    <font>
      <b/>
      <sz val="13"/>
      <name val="Calibri"/>
      <family val="2"/>
      <scheme val="minor"/>
    </font>
    <font>
      <b/>
      <sz val="13"/>
      <color theme="1"/>
      <name val="Calibri"/>
      <family val="2"/>
      <scheme val="minor"/>
    </font>
    <font>
      <b/>
      <sz val="15"/>
      <color theme="1"/>
      <name val="Calibri"/>
      <family val="2"/>
      <scheme val="minor"/>
    </font>
    <font>
      <sz val="11"/>
      <color rgb="FF7030A0"/>
      <name val="Calibri"/>
      <family val="2"/>
      <scheme val="minor"/>
    </font>
    <font>
      <i/>
      <sz val="13"/>
      <color theme="1"/>
      <name val="Calibri"/>
      <family val="2"/>
      <scheme val="minor"/>
    </font>
    <font>
      <u/>
      <sz val="11"/>
      <color theme="1"/>
      <name val="Calibri"/>
      <family val="2"/>
      <scheme val="minor"/>
    </font>
    <font>
      <i/>
      <sz val="9"/>
      <color theme="1"/>
      <name val="Calibri"/>
      <family val="2"/>
      <scheme val="minor"/>
    </font>
    <font>
      <sz val="11"/>
      <color rgb="FF000000"/>
      <name val="Calibri"/>
      <family val="2"/>
    </font>
    <font>
      <sz val="11"/>
      <color rgb="FF00B0F0"/>
      <name val="Calibri"/>
      <family val="2"/>
      <scheme val="minor"/>
    </font>
    <font>
      <i/>
      <sz val="9"/>
      <color rgb="FF00B0F0"/>
      <name val="Calibri"/>
      <family val="2"/>
      <scheme val="minor"/>
    </font>
    <font>
      <b/>
      <sz val="12"/>
      <color theme="1"/>
      <name val="Calibri"/>
      <family val="2"/>
      <scheme val="minor"/>
    </font>
    <font>
      <i/>
      <sz val="11"/>
      <color theme="1"/>
      <name val="Calibri"/>
      <family val="2"/>
      <scheme val="minor"/>
    </font>
    <font>
      <b/>
      <sz val="14"/>
      <color theme="1"/>
      <name val="Calibri"/>
      <family val="2"/>
      <scheme val="minor"/>
    </font>
    <font>
      <b/>
      <sz val="10"/>
      <color theme="1"/>
      <name val="Calibri"/>
      <family val="2"/>
      <scheme val="minor"/>
    </font>
    <font>
      <sz val="10"/>
      <name val="Calibri"/>
      <family val="2"/>
      <scheme val="minor"/>
    </font>
    <font>
      <b/>
      <u/>
      <sz val="10"/>
      <color theme="10"/>
      <name val="Calibri"/>
      <family val="2"/>
      <scheme val="minor"/>
    </font>
    <font>
      <sz val="10"/>
      <name val="Verdana"/>
      <family val="2"/>
    </font>
    <font>
      <b/>
      <sz val="16"/>
      <name val="Verdana"/>
      <family val="2"/>
    </font>
    <font>
      <u/>
      <sz val="10"/>
      <color theme="10"/>
      <name val="Verdana"/>
      <family val="2"/>
    </font>
    <font>
      <sz val="8"/>
      <name val="Verdana"/>
      <family val="2"/>
    </font>
    <font>
      <b/>
      <sz val="10"/>
      <name val="Verdana"/>
      <family val="2"/>
    </font>
    <font>
      <b/>
      <sz val="12"/>
      <name val="Verdana"/>
      <family val="2"/>
    </font>
    <font>
      <sz val="12"/>
      <color theme="1"/>
      <name val="Calibri Light"/>
      <family val="2"/>
      <scheme val="major"/>
    </font>
    <font>
      <sz val="11"/>
      <color theme="1"/>
      <name val="Calibri Light"/>
      <family val="2"/>
      <scheme val="major"/>
    </font>
    <font>
      <b/>
      <sz val="12"/>
      <color theme="1"/>
      <name val="Calibri Light"/>
      <family val="2"/>
      <scheme val="major"/>
    </font>
    <font>
      <b/>
      <sz val="12"/>
      <color theme="0"/>
      <name val="Calibri Light"/>
      <family val="2"/>
      <scheme val="major"/>
    </font>
    <font>
      <sz val="10"/>
      <color theme="1"/>
      <name val="Calibri Light"/>
      <family val="2"/>
      <scheme val="major"/>
    </font>
    <font>
      <b/>
      <sz val="18"/>
      <color theme="1"/>
      <name val="Calibri Light"/>
      <family val="2"/>
      <scheme val="major"/>
    </font>
    <font>
      <b/>
      <sz val="11"/>
      <color theme="1"/>
      <name val="Calibri Light"/>
      <family val="2"/>
      <scheme val="major"/>
    </font>
    <font>
      <b/>
      <sz val="11"/>
      <color theme="0"/>
      <name val="Calibri Light"/>
      <family val="2"/>
      <scheme val="major"/>
    </font>
    <font>
      <sz val="9"/>
      <color theme="1"/>
      <name val="Calibri Light"/>
      <family val="2"/>
      <scheme val="major"/>
    </font>
    <font>
      <b/>
      <sz val="24"/>
      <color theme="1"/>
      <name val="Calibri Light"/>
      <family val="2"/>
      <scheme val="major"/>
    </font>
    <font>
      <b/>
      <sz val="12"/>
      <color theme="1"/>
      <name val="Calibri"/>
      <family val="2"/>
    </font>
    <font>
      <sz val="12"/>
      <color theme="7" tint="-0.499984740745262"/>
      <name val="Calibri Light"/>
      <family val="2"/>
      <scheme val="major"/>
    </font>
    <font>
      <sz val="12"/>
      <color rgb="FF0070C0"/>
      <name val="Calibri Light"/>
      <family val="2"/>
      <scheme val="major"/>
    </font>
    <font>
      <sz val="12"/>
      <color theme="9" tint="-0.249977111117893"/>
      <name val="Calibri Light"/>
      <family val="2"/>
      <scheme val="major"/>
    </font>
    <font>
      <b/>
      <sz val="11"/>
      <name val="Calibri Light"/>
      <family val="2"/>
      <scheme val="major"/>
    </font>
    <font>
      <sz val="12"/>
      <color rgb="FF9A009A"/>
      <name val="Calibri Light"/>
      <family val="2"/>
      <scheme val="major"/>
    </font>
    <font>
      <sz val="11"/>
      <color rgb="FF00B050"/>
      <name val="Calibri"/>
      <family val="2"/>
      <scheme val="minor"/>
    </font>
    <font>
      <sz val="7"/>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14999847407452621"/>
        <bgColor theme="0" tint="-0.14993743705557422"/>
      </patternFill>
    </fill>
    <fill>
      <patternFill patternType="solid">
        <fgColor theme="0"/>
        <bgColor theme="0" tint="-0.14993743705557422"/>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6" tint="0.79998168889431442"/>
        <bgColor indexed="64"/>
      </patternFill>
    </fill>
    <fill>
      <patternFill patternType="solid">
        <fgColor theme="6" tint="0.79998168889431442"/>
        <bgColor theme="0" tint="-0.499984740745262"/>
      </patternFill>
    </fill>
    <fill>
      <patternFill patternType="solid">
        <fgColor rgb="FFFFE6FF"/>
        <bgColor indexed="64"/>
      </patternFill>
    </fill>
    <fill>
      <patternFill patternType="solid">
        <fgColor rgb="FF99FFCC"/>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3">
    <xf numFmtId="0" fontId="0" fillId="0" borderId="0"/>
    <xf numFmtId="9" fontId="1" fillId="0" borderId="0" applyFont="0" applyFill="0" applyBorder="0" applyAlignment="0" applyProtection="0"/>
    <xf numFmtId="0" fontId="11" fillId="0" borderId="0"/>
    <xf numFmtId="9" fontId="11" fillId="0" borderId="0" applyFont="0" applyFill="0" applyBorder="0" applyAlignment="0" applyProtection="0"/>
    <xf numFmtId="0" fontId="12" fillId="0" borderId="0" applyNumberFormat="0" applyFill="0" applyBorder="0" applyAlignment="0" applyProtection="0"/>
    <xf numFmtId="0" fontId="13" fillId="0" borderId="0"/>
    <xf numFmtId="0" fontId="16" fillId="0" borderId="0"/>
    <xf numFmtId="0" fontId="17" fillId="0" borderId="0"/>
    <xf numFmtId="0" fontId="13" fillId="0" borderId="0" applyNumberFormat="0" applyFill="0" applyBorder="0" applyAlignment="0" applyProtection="0"/>
    <xf numFmtId="0" fontId="27" fillId="0" borderId="0" applyBorder="0"/>
    <xf numFmtId="0" fontId="36" fillId="0" borderId="0"/>
    <xf numFmtId="0" fontId="38" fillId="0" borderId="0" applyNumberFormat="0" applyFill="0" applyBorder="0" applyAlignment="0" applyProtection="0"/>
    <xf numFmtId="43" fontId="1" fillId="0" borderId="0" applyFont="0" applyFill="0" applyBorder="0" applyAlignment="0" applyProtection="0"/>
  </cellStyleXfs>
  <cellXfs count="752">
    <xf numFmtId="0" fontId="0" fillId="0" borderId="0" xfId="0"/>
    <xf numFmtId="0" fontId="0" fillId="2" borderId="0" xfId="0" applyFill="1"/>
    <xf numFmtId="0" fontId="0" fillId="2" borderId="0" xfId="0" applyFill="1" applyAlignment="1">
      <alignment horizontal="center"/>
    </xf>
    <xf numFmtId="166" fontId="0" fillId="2" borderId="0" xfId="0" applyNumberFormat="1" applyFill="1" applyAlignment="1">
      <alignment horizontal="center" vertical="center"/>
    </xf>
    <xf numFmtId="0" fontId="0" fillId="2" borderId="0" xfId="0" applyFill="1" applyAlignment="1">
      <alignment vertical="center"/>
    </xf>
    <xf numFmtId="0" fontId="2" fillId="2" borderId="0" xfId="0" applyFont="1" applyFill="1" applyBorder="1" applyAlignment="1">
      <alignment horizontal="center" vertical="center" wrapText="1"/>
    </xf>
    <xf numFmtId="0" fontId="0" fillId="2" borderId="0" xfId="0" applyFill="1" applyAlignment="1">
      <alignment horizontal="center" vertical="center"/>
    </xf>
    <xf numFmtId="3" fontId="0" fillId="2" borderId="15" xfId="0" applyNumberFormat="1" applyFill="1" applyBorder="1" applyAlignment="1">
      <alignment horizontal="center" vertical="center"/>
    </xf>
    <xf numFmtId="0" fontId="4" fillId="2" borderId="0" xfId="0" applyFont="1" applyFill="1" applyAlignment="1">
      <alignment vertical="center"/>
    </xf>
    <xf numFmtId="0" fontId="0" fillId="2" borderId="0" xfId="0" applyFill="1" applyBorder="1" applyAlignment="1">
      <alignment horizontal="center" vertical="center"/>
    </xf>
    <xf numFmtId="3" fontId="0" fillId="2" borderId="0" xfId="0" applyNumberFormat="1" applyFill="1" applyBorder="1" applyAlignment="1" applyProtection="1">
      <alignment horizontal="center"/>
    </xf>
    <xf numFmtId="0" fontId="0" fillId="2" borderId="0" xfId="0" applyFill="1" applyAlignment="1">
      <alignment horizontal="center"/>
    </xf>
    <xf numFmtId="0" fontId="4" fillId="2" borderId="0" xfId="0" applyFont="1" applyFill="1" applyProtection="1"/>
    <xf numFmtId="0" fontId="0" fillId="2" borderId="0" xfId="0" applyFill="1" applyProtection="1"/>
    <xf numFmtId="0" fontId="3" fillId="2" borderId="0" xfId="0" applyFont="1" applyFill="1" applyBorder="1" applyAlignment="1" applyProtection="1">
      <alignment vertical="center"/>
    </xf>
    <xf numFmtId="3" fontId="0" fillId="2" borderId="1" xfId="0" applyNumberFormat="1" applyFill="1" applyBorder="1" applyAlignment="1" applyProtection="1">
      <alignment horizontal="center" vertical="center"/>
    </xf>
    <xf numFmtId="0" fontId="3" fillId="2" borderId="0" xfId="0" applyFont="1" applyFill="1" applyBorder="1" applyAlignment="1" applyProtection="1">
      <alignment horizontal="center" vertical="center"/>
    </xf>
    <xf numFmtId="3" fontId="0" fillId="2" borderId="0" xfId="0" applyNumberForma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vertical="center"/>
    </xf>
    <xf numFmtId="0" fontId="0" fillId="2" borderId="0" xfId="0" applyFill="1" applyBorder="1" applyProtection="1"/>
    <xf numFmtId="3" fontId="0" fillId="2" borderId="0" xfId="0" applyNumberFormat="1" applyFill="1" applyProtection="1"/>
    <xf numFmtId="0" fontId="0" fillId="2" borderId="0" xfId="0" applyFill="1" applyBorder="1" applyAlignment="1" applyProtection="1">
      <alignment vertical="center" wrapText="1"/>
    </xf>
    <xf numFmtId="0" fontId="0" fillId="2" borderId="0" xfId="0" applyFill="1" applyBorder="1" applyAlignment="1" applyProtection="1">
      <alignment horizontal="center"/>
    </xf>
    <xf numFmtId="0" fontId="8" fillId="2" borderId="0" xfId="0" applyFont="1" applyFill="1" applyBorder="1" applyAlignment="1" applyProtection="1">
      <alignment horizontal="center" vertical="center" wrapText="1"/>
    </xf>
    <xf numFmtId="0" fontId="2" fillId="2" borderId="0" xfId="0" applyFont="1" applyFill="1" applyBorder="1" applyAlignment="1">
      <alignment horizontal="center" vertical="center"/>
    </xf>
    <xf numFmtId="3" fontId="0" fillId="2" borderId="0" xfId="0" applyNumberFormat="1" applyFill="1" applyBorder="1" applyAlignment="1" applyProtection="1">
      <alignment horizontal="center" vertical="center" wrapText="1"/>
    </xf>
    <xf numFmtId="0" fontId="0" fillId="2" borderId="0" xfId="0" applyFill="1" applyBorder="1" applyAlignment="1">
      <alignment vertical="center"/>
    </xf>
    <xf numFmtId="9" fontId="0" fillId="2" borderId="0" xfId="0" applyNumberForma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8" fillId="2" borderId="0" xfId="0" applyFont="1" applyFill="1" applyBorder="1" applyProtection="1"/>
    <xf numFmtId="0" fontId="3" fillId="2" borderId="0" xfId="0" applyFont="1" applyFill="1" applyBorder="1" applyAlignment="1" applyProtection="1">
      <alignment horizontal="center" vertical="center" wrapText="1"/>
    </xf>
    <xf numFmtId="9" fontId="6" fillId="2" borderId="0" xfId="0" applyNumberFormat="1" applyFont="1" applyFill="1" applyBorder="1" applyAlignment="1" applyProtection="1">
      <alignment horizontal="center" vertical="center"/>
    </xf>
    <xf numFmtId="0" fontId="4" fillId="2" borderId="0" xfId="0" applyFont="1" applyFill="1" applyAlignment="1" applyProtection="1">
      <alignment vertical="center"/>
    </xf>
    <xf numFmtId="0" fontId="0" fillId="2" borderId="0" xfId="0" applyFill="1" applyBorder="1" applyAlignment="1" applyProtection="1">
      <alignment vertical="center"/>
    </xf>
    <xf numFmtId="3" fontId="0" fillId="2" borderId="6" xfId="0" applyNumberFormat="1" applyFill="1" applyBorder="1" applyAlignment="1" applyProtection="1">
      <alignment horizontal="center" vertical="center"/>
    </xf>
    <xf numFmtId="0" fontId="10" fillId="2" borderId="0" xfId="0" applyFont="1" applyFill="1" applyAlignment="1" applyProtection="1">
      <alignment vertical="center" wrapText="1"/>
    </xf>
    <xf numFmtId="0" fontId="3" fillId="2" borderId="0" xfId="0" applyFont="1" applyFill="1" applyBorder="1" applyAlignment="1" applyProtection="1"/>
    <xf numFmtId="3" fontId="0" fillId="2" borderId="0" xfId="0" applyNumberFormat="1" applyFill="1" applyAlignment="1">
      <alignment horizontal="center" vertical="center"/>
    </xf>
    <xf numFmtId="0" fontId="21" fillId="2" borderId="0" xfId="0" applyFont="1" applyFill="1" applyAlignment="1">
      <alignment vertical="center"/>
    </xf>
    <xf numFmtId="0" fontId="3" fillId="2" borderId="0" xfId="0" applyFont="1" applyFill="1" applyAlignment="1">
      <alignment horizontal="center" vertical="center"/>
    </xf>
    <xf numFmtId="3" fontId="0" fillId="2" borderId="0" xfId="0" applyNumberFormat="1" applyFill="1" applyAlignment="1">
      <alignment vertical="center"/>
    </xf>
    <xf numFmtId="9" fontId="23" fillId="2" borderId="0" xfId="1" applyFont="1" applyFill="1" applyAlignment="1">
      <alignment horizontal="center" vertical="center"/>
    </xf>
    <xf numFmtId="3" fontId="3" fillId="2" borderId="0" xfId="0" applyNumberFormat="1" applyFont="1" applyFill="1" applyAlignment="1">
      <alignment horizontal="center" vertical="center"/>
    </xf>
    <xf numFmtId="3" fontId="3" fillId="5" borderId="0" xfId="0" applyNumberFormat="1" applyFont="1" applyFill="1" applyAlignment="1">
      <alignment horizontal="center" vertical="center"/>
    </xf>
    <xf numFmtId="0" fontId="3" fillId="2" borderId="0" xfId="0" applyFont="1" applyFill="1" applyAlignment="1">
      <alignment horizontal="right" vertical="center"/>
    </xf>
    <xf numFmtId="3" fontId="25" fillId="2" borderId="0" xfId="0" applyNumberFormat="1" applyFont="1" applyFill="1" applyAlignment="1">
      <alignment horizontal="center" vertical="center"/>
    </xf>
    <xf numFmtId="3" fontId="25" fillId="2" borderId="0" xfId="0" applyNumberFormat="1" applyFont="1" applyFill="1" applyAlignment="1">
      <alignment horizontal="center" vertical="center" wrapText="1"/>
    </xf>
    <xf numFmtId="0" fontId="21" fillId="3" borderId="0" xfId="0" applyFont="1" applyFill="1" applyAlignment="1">
      <alignment vertical="center"/>
    </xf>
    <xf numFmtId="0" fontId="0" fillId="3" borderId="0" xfId="0" applyFill="1" applyAlignment="1">
      <alignment vertical="center"/>
    </xf>
    <xf numFmtId="0" fontId="21" fillId="5" borderId="0" xfId="0" applyFont="1" applyFill="1" applyAlignment="1">
      <alignment vertical="center"/>
    </xf>
    <xf numFmtId="0" fontId="0" fillId="5" borderId="0" xfId="0" applyFill="1" applyAlignment="1">
      <alignment vertical="center"/>
    </xf>
    <xf numFmtId="0" fontId="21" fillId="9" borderId="0" xfId="0" applyFont="1" applyFill="1" applyAlignment="1">
      <alignment vertical="center"/>
    </xf>
    <xf numFmtId="0" fontId="0" fillId="9" borderId="0" xfId="0" applyFill="1" applyAlignment="1">
      <alignment vertical="center"/>
    </xf>
    <xf numFmtId="3" fontId="3" fillId="3" borderId="0" xfId="0" applyNumberFormat="1" applyFont="1" applyFill="1" applyAlignment="1">
      <alignment horizontal="center" vertical="center"/>
    </xf>
    <xf numFmtId="3" fontId="3" fillId="2" borderId="15" xfId="0" applyNumberFormat="1" applyFont="1" applyFill="1" applyBorder="1" applyAlignment="1">
      <alignment horizontal="center" vertical="center"/>
    </xf>
    <xf numFmtId="165" fontId="0" fillId="2" borderId="0" xfId="1" applyNumberFormat="1" applyFont="1" applyFill="1" applyAlignment="1">
      <alignment horizontal="center" vertical="center"/>
    </xf>
    <xf numFmtId="0" fontId="0" fillId="2" borderId="0" xfId="0" applyFill="1" applyAlignment="1" applyProtection="1">
      <alignment vertical="center" wrapText="1"/>
    </xf>
    <xf numFmtId="0" fontId="0" fillId="2" borderId="0" xfId="0" applyFill="1" applyBorder="1" applyAlignment="1" applyProtection="1">
      <alignment horizontal="center" vertical="center" wrapText="1"/>
    </xf>
    <xf numFmtId="0" fontId="30" fillId="2" borderId="0" xfId="0" applyFont="1" applyFill="1" applyBorder="1" applyAlignment="1">
      <alignment vertical="center"/>
    </xf>
    <xf numFmtId="0" fontId="10" fillId="2" borderId="0" xfId="0" applyFont="1" applyFill="1" applyBorder="1" applyAlignment="1">
      <alignment vertical="center" wrapText="1"/>
    </xf>
    <xf numFmtId="0" fontId="30" fillId="2" borderId="0" xfId="0" applyFont="1" applyFill="1" applyProtection="1"/>
    <xf numFmtId="0" fontId="30" fillId="2" borderId="0" xfId="0" applyFont="1" applyFill="1" applyAlignment="1" applyProtection="1">
      <alignment vertical="center"/>
    </xf>
    <xf numFmtId="0" fontId="30" fillId="2" borderId="0" xfId="0" applyFont="1" applyFill="1" applyBorder="1" applyAlignment="1" applyProtection="1">
      <alignment vertical="center"/>
    </xf>
    <xf numFmtId="0" fontId="30" fillId="2" borderId="0" xfId="0" applyFont="1" applyFill="1" applyAlignment="1">
      <alignment horizontal="left" vertical="center"/>
    </xf>
    <xf numFmtId="3" fontId="0" fillId="2" borderId="0" xfId="0" applyNumberFormat="1" applyFont="1" applyFill="1" applyBorder="1" applyAlignment="1">
      <alignment horizontal="center" vertical="center"/>
    </xf>
    <xf numFmtId="167" fontId="6" fillId="2" borderId="0" xfId="0" applyNumberFormat="1" applyFont="1" applyFill="1" applyBorder="1" applyAlignment="1" applyProtection="1">
      <alignment horizontal="center" vertical="center"/>
    </xf>
    <xf numFmtId="3" fontId="14" fillId="2" borderId="0" xfId="0" applyNumberFormat="1" applyFont="1" applyFill="1" applyBorder="1" applyAlignment="1">
      <alignment horizontal="right" vertical="center"/>
    </xf>
    <xf numFmtId="2" fontId="29" fillId="2" borderId="0" xfId="0" applyNumberFormat="1" applyFont="1" applyFill="1" applyAlignment="1">
      <alignment horizontal="center" vertical="center"/>
    </xf>
    <xf numFmtId="4" fontId="29" fillId="2" borderId="0" xfId="0" applyNumberFormat="1" applyFont="1" applyFill="1" applyAlignment="1">
      <alignment horizontal="center" vertical="center"/>
    </xf>
    <xf numFmtId="167" fontId="0" fillId="7" borderId="1" xfId="0" applyNumberFormat="1" applyFont="1" applyFill="1" applyBorder="1" applyAlignment="1" applyProtection="1">
      <alignment horizontal="center" vertical="center"/>
    </xf>
    <xf numFmtId="0" fontId="0" fillId="2" borderId="0" xfId="0" applyFill="1" applyAlignment="1">
      <alignment horizontal="center" vertical="center"/>
    </xf>
    <xf numFmtId="166" fontId="0" fillId="2" borderId="0" xfId="0" applyNumberFormat="1" applyFill="1" applyAlignment="1">
      <alignment horizontal="center" vertical="center"/>
    </xf>
    <xf numFmtId="3" fontId="0" fillId="2" borderId="0" xfId="0" applyNumberFormat="1" applyFill="1" applyAlignment="1">
      <alignment horizontal="center" vertical="center"/>
    </xf>
    <xf numFmtId="0" fontId="0" fillId="2" borderId="0" xfId="0" applyFill="1" applyBorder="1" applyAlignment="1">
      <alignment horizontal="center" vertical="center"/>
    </xf>
    <xf numFmtId="0" fontId="9" fillId="2" borderId="0" xfId="0" applyFont="1" applyFill="1" applyAlignment="1">
      <alignment vertical="center"/>
    </xf>
    <xf numFmtId="0" fontId="0" fillId="2" borderId="0" xfId="0" applyFont="1" applyFill="1" applyProtection="1"/>
    <xf numFmtId="0" fontId="3" fillId="2" borderId="0" xfId="0" applyFont="1" applyFill="1" applyBorder="1" applyAlignment="1" applyProtection="1">
      <alignment horizontal="center"/>
    </xf>
    <xf numFmtId="164" fontId="0" fillId="2" borderId="0" xfId="1" applyNumberFormat="1" applyFont="1" applyFill="1" applyBorder="1" applyAlignment="1" applyProtection="1">
      <alignment horizontal="center" vertical="center"/>
    </xf>
    <xf numFmtId="0" fontId="4" fillId="2" borderId="0" xfId="0" applyFont="1" applyFill="1" applyAlignment="1" applyProtection="1"/>
    <xf numFmtId="0" fontId="31" fillId="2" borderId="0" xfId="0" applyFont="1" applyFill="1" applyBorder="1" applyAlignment="1" applyProtection="1">
      <alignment vertical="center" wrapText="1"/>
    </xf>
    <xf numFmtId="0" fontId="0" fillId="2" borderId="0" xfId="0" applyFill="1" applyBorder="1" applyAlignment="1" applyProtection="1">
      <alignment wrapText="1"/>
    </xf>
    <xf numFmtId="0" fontId="0" fillId="2" borderId="0" xfId="0" applyFill="1" applyBorder="1" applyAlignment="1" applyProtection="1"/>
    <xf numFmtId="0" fontId="0" fillId="2" borderId="0" xfId="0" applyFill="1" applyAlignment="1" applyProtection="1">
      <alignment horizontal="center" wrapText="1"/>
    </xf>
    <xf numFmtId="3" fontId="3" fillId="3" borderId="20" xfId="0" applyNumberFormat="1" applyFont="1" applyFill="1" applyBorder="1" applyAlignment="1">
      <alignment horizontal="center" vertical="center"/>
    </xf>
    <xf numFmtId="3" fontId="3" fillId="9" borderId="20"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165" fontId="3" fillId="2" borderId="0" xfId="1" applyNumberFormat="1" applyFont="1" applyFill="1" applyBorder="1" applyAlignment="1" applyProtection="1">
      <alignment horizontal="center" vertical="center" wrapText="1"/>
    </xf>
    <xf numFmtId="3" fontId="3" fillId="2" borderId="0" xfId="0" applyNumberFormat="1" applyFont="1" applyFill="1" applyBorder="1" applyAlignment="1" applyProtection="1">
      <alignment horizontal="center" vertical="center" wrapText="1"/>
    </xf>
    <xf numFmtId="166" fontId="0" fillId="2" borderId="1" xfId="0" applyNumberFormat="1" applyFill="1" applyBorder="1" applyAlignment="1" applyProtection="1">
      <alignment horizontal="center"/>
    </xf>
    <xf numFmtId="0" fontId="0" fillId="2" borderId="0" xfId="0" applyFill="1" applyAlignment="1">
      <alignment horizontal="right" vertical="center" wrapText="1"/>
    </xf>
    <xf numFmtId="3" fontId="0" fillId="2" borderId="0" xfId="0" applyNumberFormat="1" applyFill="1" applyAlignment="1">
      <alignment horizontal="center" vertical="center"/>
    </xf>
    <xf numFmtId="164" fontId="0" fillId="2" borderId="1" xfId="0" applyNumberFormat="1" applyFill="1" applyBorder="1" applyAlignment="1" applyProtection="1">
      <alignment horizontal="center"/>
    </xf>
    <xf numFmtId="0" fontId="0" fillId="2" borderId="1" xfId="0"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0" fontId="14" fillId="2" borderId="0" xfId="0" applyFont="1" applyFill="1" applyBorder="1" applyAlignment="1">
      <alignment horizontal="left" vertical="center" wrapText="1"/>
    </xf>
    <xf numFmtId="0" fontId="0" fillId="2" borderId="0" xfId="0" applyFill="1" applyAlignment="1">
      <alignment vertical="center" wrapText="1"/>
    </xf>
    <xf numFmtId="3" fontId="3" fillId="4" borderId="20" xfId="0" applyNumberFormat="1" applyFont="1" applyFill="1" applyBorder="1" applyAlignment="1">
      <alignment horizontal="center" vertical="center"/>
    </xf>
    <xf numFmtId="3" fontId="0" fillId="2" borderId="0" xfId="0" applyNumberFormat="1" applyFill="1"/>
    <xf numFmtId="0" fontId="4" fillId="2" borderId="0" xfId="0" applyFont="1" applyFill="1" applyBorder="1" applyAlignment="1" applyProtection="1">
      <alignment vertical="center"/>
    </xf>
    <xf numFmtId="0" fontId="3" fillId="2" borderId="1" xfId="0" applyFont="1" applyFill="1" applyBorder="1" applyAlignment="1">
      <alignment horizontal="center" vertical="center" wrapText="1"/>
    </xf>
    <xf numFmtId="0" fontId="0" fillId="2" borderId="6" xfId="0" applyFont="1" applyFill="1" applyBorder="1" applyAlignment="1" applyProtection="1">
      <alignment horizontal="center" vertical="center"/>
    </xf>
    <xf numFmtId="0" fontId="3" fillId="2" borderId="2"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3" xfId="0" applyFont="1" applyFill="1" applyBorder="1" applyAlignment="1" applyProtection="1">
      <alignment horizontal="center"/>
    </xf>
    <xf numFmtId="0" fontId="10" fillId="2" borderId="0" xfId="0" applyFont="1" applyFill="1" applyProtection="1"/>
    <xf numFmtId="1" fontId="0" fillId="2" borderId="0" xfId="0" applyNumberFormat="1" applyFont="1" applyFill="1" applyBorder="1" applyAlignment="1" applyProtection="1">
      <alignment horizontal="center" vertical="center"/>
    </xf>
    <xf numFmtId="2" fontId="0" fillId="2" borderId="1" xfId="0" applyNumberFormat="1" applyFill="1" applyBorder="1" applyAlignment="1" applyProtection="1">
      <alignment horizontal="center" vertical="center"/>
    </xf>
    <xf numFmtId="4" fontId="0" fillId="2" borderId="1" xfId="0" applyNumberFormat="1" applyFill="1" applyBorder="1" applyAlignment="1" applyProtection="1">
      <alignment horizontal="center" vertical="center"/>
    </xf>
    <xf numFmtId="167" fontId="0" fillId="2" borderId="1" xfId="0" applyNumberFormat="1" applyFont="1" applyFill="1" applyBorder="1" applyAlignment="1" applyProtection="1">
      <alignment horizontal="center" vertical="center"/>
    </xf>
    <xf numFmtId="1" fontId="0" fillId="2" borderId="1" xfId="0" applyNumberFormat="1" applyFont="1" applyFill="1" applyBorder="1" applyAlignment="1" applyProtection="1">
      <alignment horizontal="center" vertical="center"/>
    </xf>
    <xf numFmtId="3" fontId="0" fillId="7" borderId="1" xfId="0" applyNumberFormat="1" applyFont="1" applyFill="1" applyBorder="1" applyAlignment="1" applyProtection="1">
      <alignment horizontal="center" vertical="center"/>
    </xf>
    <xf numFmtId="9" fontId="0" fillId="11" borderId="1" xfId="1" applyFont="1" applyFill="1" applyBorder="1" applyAlignment="1">
      <alignment horizontal="center" vertical="center"/>
    </xf>
    <xf numFmtId="0" fontId="10" fillId="2" borderId="0" xfId="0" applyFont="1" applyFill="1" applyAlignment="1">
      <alignment vertical="center"/>
    </xf>
    <xf numFmtId="0" fontId="10" fillId="2" borderId="0" xfId="0" applyFont="1" applyFill="1"/>
    <xf numFmtId="0" fontId="0" fillId="2" borderId="0" xfId="0" applyFill="1" applyAlignment="1">
      <alignment horizontal="center" vertical="center"/>
    </xf>
    <xf numFmtId="3" fontId="0" fillId="2" borderId="0" xfId="0" applyNumberFormat="1" applyFill="1" applyAlignment="1">
      <alignment horizontal="center" vertical="center"/>
    </xf>
    <xf numFmtId="165" fontId="0" fillId="2" borderId="0" xfId="1" applyNumberFormat="1" applyFont="1" applyFill="1" applyAlignment="1">
      <alignment horizontal="center" vertical="center"/>
    </xf>
    <xf numFmtId="2" fontId="29" fillId="2" borderId="0" xfId="0" applyNumberFormat="1" applyFont="1" applyFill="1" applyAlignment="1">
      <alignment horizontal="center" vertical="center"/>
    </xf>
    <xf numFmtId="0" fontId="0" fillId="2" borderId="22" xfId="0" applyFill="1" applyBorder="1" applyAlignment="1">
      <alignment vertical="center"/>
    </xf>
    <xf numFmtId="0" fontId="36" fillId="2" borderId="0" xfId="10" applyFill="1" applyAlignment="1">
      <alignment vertical="center"/>
    </xf>
    <xf numFmtId="0" fontId="36" fillId="2" borderId="0" xfId="10" applyFill="1"/>
    <xf numFmtId="0" fontId="40" fillId="2" borderId="0" xfId="10" applyFont="1" applyFill="1" applyAlignment="1">
      <alignment horizontal="left" vertical="center" indent="1"/>
    </xf>
    <xf numFmtId="0" fontId="12" fillId="10" borderId="10" xfId="4" applyFill="1" applyBorder="1" applyAlignment="1">
      <alignment horizontal="left" vertical="center" indent="1"/>
    </xf>
    <xf numFmtId="0" fontId="12" fillId="10" borderId="11" xfId="4" applyFill="1" applyBorder="1" applyAlignment="1">
      <alignment horizontal="left" vertical="center" indent="1"/>
    </xf>
    <xf numFmtId="0" fontId="12" fillId="10" borderId="12" xfId="4" applyFill="1" applyBorder="1" applyAlignment="1">
      <alignment horizontal="left" vertical="center" indent="1"/>
    </xf>
    <xf numFmtId="0" fontId="12" fillId="5" borderId="2" xfId="4" applyFill="1" applyBorder="1" applyAlignment="1">
      <alignment horizontal="left" vertical="center" indent="1"/>
    </xf>
    <xf numFmtId="0" fontId="12" fillId="6" borderId="2" xfId="4" applyFill="1" applyBorder="1" applyAlignment="1">
      <alignment horizontal="left" vertical="center" indent="1"/>
    </xf>
    <xf numFmtId="0" fontId="12" fillId="3" borderId="12" xfId="4" applyFill="1" applyBorder="1" applyAlignment="1">
      <alignment horizontal="left" vertical="center" indent="1"/>
    </xf>
    <xf numFmtId="0" fontId="37" fillId="2" borderId="0" xfId="10" applyFont="1" applyFill="1" applyAlignment="1">
      <alignment vertical="center"/>
    </xf>
    <xf numFmtId="0" fontId="35" fillId="2" borderId="0" xfId="4" applyFont="1" applyFill="1" applyAlignment="1" applyProtection="1">
      <alignment horizontal="right" vertical="center"/>
    </xf>
    <xf numFmtId="0" fontId="35" fillId="2" borderId="0" xfId="4" applyFont="1" applyFill="1" applyAlignment="1" applyProtection="1">
      <alignment horizontal="left" vertical="center"/>
    </xf>
    <xf numFmtId="166" fontId="35" fillId="2" borderId="0" xfId="4" applyNumberFormat="1" applyFont="1" applyFill="1" applyAlignment="1" applyProtection="1">
      <alignment horizontal="center" vertical="center" wrapText="1"/>
    </xf>
    <xf numFmtId="0" fontId="35" fillId="2" borderId="0" xfId="4" applyFont="1" applyFill="1" applyAlignment="1" applyProtection="1">
      <alignment vertical="center"/>
    </xf>
    <xf numFmtId="0" fontId="35" fillId="2" borderId="0" xfId="4" applyFont="1" applyFill="1" applyBorder="1" applyAlignment="1" applyProtection="1">
      <alignment horizontal="center" vertical="center" wrapText="1"/>
    </xf>
    <xf numFmtId="0" fontId="4" fillId="2" borderId="0" xfId="0" applyFont="1" applyFill="1" applyAlignment="1" applyProtection="1">
      <alignment horizontal="left" vertical="center"/>
    </xf>
    <xf numFmtId="0" fontId="0" fillId="2" borderId="0" xfId="0" applyFill="1" applyAlignment="1">
      <alignment horizontal="left" vertical="center"/>
    </xf>
    <xf numFmtId="167" fontId="0" fillId="2" borderId="4" xfId="0" applyNumberFormat="1" applyFont="1" applyFill="1" applyBorder="1" applyAlignment="1" applyProtection="1">
      <alignment horizontal="center" vertical="center"/>
    </xf>
    <xf numFmtId="0" fontId="12" fillId="7" borderId="2" xfId="4" applyFill="1" applyBorder="1" applyAlignment="1">
      <alignment horizontal="left" vertical="center" indent="1"/>
    </xf>
    <xf numFmtId="3" fontId="0" fillId="2" borderId="1" xfId="0" applyNumberFormat="1" applyFont="1" applyFill="1" applyBorder="1" applyAlignment="1" applyProtection="1">
      <alignment horizontal="center" vertical="center"/>
    </xf>
    <xf numFmtId="49" fontId="0" fillId="8" borderId="1" xfId="0" applyNumberFormat="1"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3" fontId="0" fillId="8" borderId="6" xfId="0" applyNumberFormat="1" applyFont="1" applyFill="1" applyBorder="1" applyAlignment="1" applyProtection="1">
      <alignment horizontal="center" vertical="center"/>
      <protection locked="0"/>
    </xf>
    <xf numFmtId="3" fontId="0" fillId="8" borderId="1" xfId="0" applyNumberFormat="1" applyFont="1" applyFill="1" applyBorder="1" applyAlignment="1" applyProtection="1">
      <alignment horizontal="center" vertical="center"/>
      <protection locked="0"/>
    </xf>
    <xf numFmtId="0" fontId="0" fillId="4" borderId="4" xfId="0" applyFill="1" applyBorder="1" applyAlignment="1" applyProtection="1">
      <alignment horizontal="center"/>
    </xf>
    <xf numFmtId="0" fontId="0" fillId="4" borderId="5" xfId="0" applyFill="1" applyBorder="1" applyAlignment="1" applyProtection="1">
      <alignment horizontal="center"/>
    </xf>
    <xf numFmtId="43" fontId="0" fillId="4" borderId="8" xfId="0" applyNumberFormat="1" applyFill="1" applyBorder="1" applyAlignment="1" applyProtection="1">
      <alignment horizontal="left"/>
    </xf>
    <xf numFmtId="0" fontId="0" fillId="4" borderId="6" xfId="0" applyFill="1" applyBorder="1" applyAlignment="1" applyProtection="1">
      <alignment horizontal="center"/>
    </xf>
    <xf numFmtId="43" fontId="0" fillId="4" borderId="9" xfId="0" applyNumberFormat="1" applyFill="1" applyBorder="1" applyAlignment="1" applyProtection="1">
      <alignment horizontal="left"/>
    </xf>
    <xf numFmtId="14" fontId="31" fillId="4" borderId="1" xfId="0" applyNumberFormat="1"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49" fontId="31" fillId="4" borderId="1" xfId="0" applyNumberFormat="1" applyFont="1" applyFill="1" applyBorder="1" applyAlignment="1" applyProtection="1">
      <alignment horizontal="center" vertical="center"/>
    </xf>
    <xf numFmtId="43" fontId="0" fillId="4" borderId="4" xfId="0" applyNumberFormat="1" applyFill="1" applyBorder="1" applyAlignment="1" applyProtection="1">
      <alignment horizontal="left"/>
    </xf>
    <xf numFmtId="43" fontId="0" fillId="4" borderId="5" xfId="0" applyNumberFormat="1" applyFill="1" applyBorder="1" applyAlignment="1" applyProtection="1">
      <alignment horizontal="left"/>
    </xf>
    <xf numFmtId="43" fontId="0" fillId="4" borderId="6" xfId="0" applyNumberFormat="1" applyFill="1" applyBorder="1" applyAlignment="1" applyProtection="1">
      <alignment horizontal="left"/>
    </xf>
    <xf numFmtId="2" fontId="0" fillId="4" borderId="1" xfId="0" applyNumberFormat="1" applyFill="1" applyBorder="1" applyAlignment="1" applyProtection="1">
      <alignment horizontal="center" vertical="center"/>
    </xf>
    <xf numFmtId="43" fontId="0" fillId="4" borderId="7" xfId="0" applyNumberFormat="1" applyFill="1" applyBorder="1" applyProtection="1"/>
    <xf numFmtId="43" fontId="0" fillId="4" borderId="8" xfId="0" applyNumberFormat="1" applyFill="1" applyBorder="1" applyProtection="1"/>
    <xf numFmtId="43" fontId="0" fillId="4" borderId="9" xfId="0" applyNumberFormat="1" applyFill="1" applyBorder="1" applyProtection="1"/>
    <xf numFmtId="165" fontId="6" fillId="4" borderId="6" xfId="0" applyNumberFormat="1" applyFont="1" applyFill="1" applyBorder="1" applyAlignment="1" applyProtection="1">
      <alignment horizontal="center" vertical="center"/>
    </xf>
    <xf numFmtId="9" fontId="6" fillId="4" borderId="1" xfId="0" applyNumberFormat="1" applyFont="1" applyFill="1" applyBorder="1" applyAlignment="1" applyProtection="1">
      <alignment horizontal="center" vertical="center"/>
    </xf>
    <xf numFmtId="3" fontId="0" fillId="4" borderId="6" xfId="0" applyNumberFormat="1" applyFill="1" applyBorder="1" applyAlignment="1" applyProtection="1">
      <alignment horizontal="center" vertical="center"/>
    </xf>
    <xf numFmtId="167" fontId="0" fillId="4" borderId="1" xfId="0" applyNumberFormat="1" applyFont="1" applyFill="1" applyBorder="1" applyAlignment="1" applyProtection="1">
      <alignment horizontal="center" vertical="center"/>
    </xf>
    <xf numFmtId="9" fontId="0" fillId="4" borderId="1" xfId="0" applyNumberFormat="1" applyFill="1" applyBorder="1" applyAlignment="1" applyProtection="1">
      <alignment horizontal="center" vertical="center"/>
    </xf>
    <xf numFmtId="167" fontId="0" fillId="4" borderId="3" xfId="0" applyNumberFormat="1" applyFont="1" applyFill="1" applyBorder="1" applyAlignment="1" applyProtection="1">
      <alignment horizontal="center" vertical="center"/>
    </xf>
    <xf numFmtId="9" fontId="0" fillId="4" borderId="1" xfId="1" applyFont="1" applyFill="1" applyBorder="1" applyAlignment="1" applyProtection="1">
      <alignment horizontal="center" vertical="center"/>
    </xf>
    <xf numFmtId="4" fontId="0" fillId="4" borderId="1" xfId="0" applyNumberFormat="1" applyFill="1" applyBorder="1" applyAlignment="1" applyProtection="1">
      <alignment horizontal="center" vertical="center"/>
    </xf>
    <xf numFmtId="0" fontId="0" fillId="4" borderId="1" xfId="0" applyFill="1" applyBorder="1" applyAlignment="1" applyProtection="1">
      <alignment horizontal="center" vertical="center"/>
    </xf>
    <xf numFmtId="9" fontId="0" fillId="2" borderId="1" xfId="1" applyFont="1" applyFill="1" applyBorder="1" applyAlignment="1" applyProtection="1">
      <alignment horizontal="center" vertical="center"/>
    </xf>
    <xf numFmtId="0" fontId="4" fillId="10" borderId="0" xfId="0" applyFont="1" applyFill="1" applyAlignment="1" applyProtection="1">
      <alignment horizontal="left" vertical="center"/>
    </xf>
    <xf numFmtId="0" fontId="35" fillId="10" borderId="0" xfId="4" applyFont="1" applyFill="1" applyAlignment="1" applyProtection="1">
      <alignment horizontal="right" vertical="center"/>
    </xf>
    <xf numFmtId="0" fontId="35" fillId="10" borderId="0" xfId="4" applyFont="1" applyFill="1" applyAlignment="1" applyProtection="1">
      <alignment horizontal="center" vertical="center" wrapText="1"/>
    </xf>
    <xf numFmtId="0" fontId="0" fillId="10" borderId="0" xfId="0" applyFill="1" applyAlignment="1" applyProtection="1">
      <alignment vertical="center"/>
    </xf>
    <xf numFmtId="0" fontId="26" fillId="10" borderId="0" xfId="0" applyFont="1" applyFill="1" applyBorder="1" applyAlignment="1" applyProtection="1">
      <alignment horizontal="center"/>
    </xf>
    <xf numFmtId="0" fontId="15" fillId="10" borderId="0" xfId="0" applyFont="1" applyFill="1" applyAlignment="1" applyProtection="1">
      <alignment vertical="center"/>
    </xf>
    <xf numFmtId="0" fontId="3" fillId="10" borderId="0" xfId="0" applyFont="1" applyFill="1" applyBorder="1" applyAlignment="1" applyProtection="1">
      <alignment horizontal="center" vertical="center"/>
    </xf>
    <xf numFmtId="49" fontId="3" fillId="10" borderId="0" xfId="0" applyNumberFormat="1" applyFont="1" applyFill="1" applyBorder="1" applyAlignment="1" applyProtection="1">
      <alignment horizontal="center" vertical="center"/>
    </xf>
    <xf numFmtId="9" fontId="0" fillId="7" borderId="1" xfId="0" applyNumberFormat="1" applyFill="1" applyBorder="1" applyAlignment="1" applyProtection="1">
      <alignment horizontal="center" vertical="center"/>
    </xf>
    <xf numFmtId="3" fontId="0" fillId="7" borderId="1" xfId="0" applyNumberFormat="1" applyFill="1" applyBorder="1" applyAlignment="1" applyProtection="1">
      <alignment horizontal="center" vertical="center"/>
    </xf>
    <xf numFmtId="0" fontId="0" fillId="7" borderId="1" xfId="0" applyFont="1" applyFill="1" applyBorder="1" applyAlignment="1" applyProtection="1">
      <alignment horizontal="center" vertical="center"/>
    </xf>
    <xf numFmtId="0" fontId="0" fillId="7" borderId="1" xfId="0" applyFill="1" applyBorder="1" applyAlignment="1" applyProtection="1">
      <alignment horizontal="center" vertical="center"/>
    </xf>
    <xf numFmtId="165" fontId="0" fillId="7" borderId="1" xfId="1" applyNumberFormat="1" applyFont="1" applyFill="1" applyBorder="1" applyAlignment="1" applyProtection="1">
      <alignment horizontal="center" vertical="center"/>
    </xf>
    <xf numFmtId="3" fontId="0" fillId="7" borderId="26"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9" fontId="0" fillId="7" borderId="4" xfId="0" applyNumberFormat="1" applyFill="1" applyBorder="1" applyAlignment="1" applyProtection="1">
      <alignment horizontal="center" vertical="center"/>
    </xf>
    <xf numFmtId="3" fontId="0" fillId="2" borderId="23" xfId="0" applyNumberFormat="1" applyFont="1" applyFill="1" applyBorder="1" applyAlignment="1" applyProtection="1">
      <alignment horizontal="center" vertical="center"/>
    </xf>
    <xf numFmtId="0" fontId="26" fillId="10" borderId="0" xfId="0" applyFont="1" applyFill="1" applyAlignment="1" applyProtection="1">
      <alignment horizontal="center" vertical="center"/>
    </xf>
    <xf numFmtId="0" fontId="3" fillId="2" borderId="1" xfId="0" applyFont="1" applyFill="1" applyBorder="1" applyAlignment="1" applyProtection="1">
      <alignment horizontal="center" vertical="center" wrapText="1"/>
    </xf>
    <xf numFmtId="3" fontId="0" fillId="2" borderId="26" xfId="0" applyNumberFormat="1" applyFont="1" applyFill="1" applyBorder="1" applyAlignment="1" applyProtection="1">
      <alignment horizontal="center" vertical="center"/>
    </xf>
    <xf numFmtId="0" fontId="0" fillId="10" borderId="0" xfId="0" applyFill="1" applyBorder="1" applyAlignment="1" applyProtection="1">
      <alignment vertical="center"/>
    </xf>
    <xf numFmtId="0" fontId="3" fillId="10" borderId="0" xfId="0" applyFont="1" applyFill="1" applyAlignment="1" applyProtection="1">
      <alignment horizontal="center" vertical="center"/>
    </xf>
    <xf numFmtId="0" fontId="32" fillId="10" borderId="0" xfId="0" applyFont="1" applyFill="1" applyAlignment="1" applyProtection="1">
      <alignment vertical="center"/>
    </xf>
    <xf numFmtId="3" fontId="0" fillId="10" borderId="0" xfId="0" applyNumberFormat="1" applyFill="1" applyAlignment="1" applyProtection="1">
      <alignment vertical="center"/>
    </xf>
    <xf numFmtId="3" fontId="10" fillId="4" borderId="4" xfId="0" applyNumberFormat="1" applyFont="1" applyFill="1" applyBorder="1" applyAlignment="1">
      <alignment horizontal="center" vertical="center"/>
    </xf>
    <xf numFmtId="167" fontId="34" fillId="4" borderId="2" xfId="0" applyNumberFormat="1" applyFont="1" applyFill="1" applyBorder="1" applyAlignment="1" applyProtection="1">
      <alignment horizontal="center" vertical="center"/>
    </xf>
    <xf numFmtId="167" fontId="34" fillId="4" borderId="1" xfId="0" applyNumberFormat="1" applyFont="1" applyFill="1" applyBorder="1" applyAlignment="1" applyProtection="1">
      <alignment horizontal="center" vertical="center"/>
    </xf>
    <xf numFmtId="0" fontId="0" fillId="4" borderId="4" xfId="0" applyFill="1" applyBorder="1" applyAlignment="1">
      <alignment horizontal="center" vertical="center"/>
    </xf>
    <xf numFmtId="43" fontId="0" fillId="4" borderId="14" xfId="0" applyNumberFormat="1" applyFill="1" applyBorder="1" applyAlignment="1">
      <alignment horizontal="left" vertical="center"/>
    </xf>
    <xf numFmtId="0" fontId="0" fillId="4" borderId="5" xfId="0" applyFill="1" applyBorder="1" applyAlignment="1">
      <alignment horizontal="center" vertical="center"/>
    </xf>
    <xf numFmtId="43" fontId="0" fillId="4" borderId="0" xfId="0" applyNumberFormat="1" applyFill="1" applyBorder="1" applyAlignment="1">
      <alignment horizontal="left" vertical="center"/>
    </xf>
    <xf numFmtId="0" fontId="0" fillId="4" borderId="6" xfId="0" applyFill="1" applyBorder="1" applyAlignment="1">
      <alignment horizontal="center" vertical="center"/>
    </xf>
    <xf numFmtId="43" fontId="0" fillId="4" borderId="15" xfId="0" applyNumberFormat="1" applyFill="1" applyBorder="1" applyAlignment="1">
      <alignment horizontal="left" vertical="center"/>
    </xf>
    <xf numFmtId="0" fontId="0" fillId="4" borderId="4" xfId="0" applyFill="1" applyBorder="1" applyAlignment="1">
      <alignment horizontal="center"/>
    </xf>
    <xf numFmtId="43" fontId="0" fillId="4" borderId="4" xfId="0" applyNumberFormat="1" applyFill="1" applyBorder="1" applyAlignment="1">
      <alignment horizontal="left"/>
    </xf>
    <xf numFmtId="0" fontId="0" fillId="4" borderId="5" xfId="0" applyFill="1" applyBorder="1" applyAlignment="1">
      <alignment horizontal="center"/>
    </xf>
    <xf numFmtId="43" fontId="0" fillId="4" borderId="5" xfId="0" applyNumberFormat="1" applyFill="1" applyBorder="1" applyAlignment="1">
      <alignment horizontal="left"/>
    </xf>
    <xf numFmtId="0" fontId="0" fillId="4" borderId="6" xfId="0" applyFill="1" applyBorder="1" applyAlignment="1">
      <alignment horizontal="center"/>
    </xf>
    <xf numFmtId="43" fontId="0" fillId="4" borderId="6" xfId="0" applyNumberFormat="1" applyFill="1" applyBorder="1" applyAlignment="1">
      <alignment horizontal="left"/>
    </xf>
    <xf numFmtId="3" fontId="0" fillId="4" borderId="4" xfId="0" applyNumberFormat="1" applyFont="1" applyFill="1" applyBorder="1" applyAlignment="1">
      <alignment horizontal="center" vertical="center"/>
    </xf>
    <xf numFmtId="164" fontId="6" fillId="4" borderId="2" xfId="0" applyNumberFormat="1" applyFont="1" applyFill="1" applyBorder="1" applyAlignment="1" applyProtection="1">
      <alignment horizontal="center" vertical="center"/>
    </xf>
    <xf numFmtId="164" fontId="6" fillId="4" borderId="1" xfId="0" applyNumberFormat="1" applyFont="1" applyFill="1" applyBorder="1" applyAlignment="1" applyProtection="1">
      <alignment horizontal="center" vertical="center"/>
    </xf>
    <xf numFmtId="165" fontId="3" fillId="4" borderId="1" xfId="1" applyNumberFormat="1" applyFont="1" applyFill="1" applyBorder="1" applyAlignment="1" applyProtection="1">
      <alignment horizontal="center" vertical="center" wrapText="1"/>
    </xf>
    <xf numFmtId="0" fontId="14" fillId="2" borderId="0" xfId="0" applyFont="1" applyFill="1" applyBorder="1" applyAlignment="1">
      <alignment vertical="center" wrapText="1"/>
    </xf>
    <xf numFmtId="0" fontId="42" fillId="2" borderId="0" xfId="0" applyFont="1" applyFill="1" applyAlignment="1" applyProtection="1">
      <alignment vertical="center"/>
    </xf>
    <xf numFmtId="0" fontId="44" fillId="2" borderId="15" xfId="0" applyFont="1" applyFill="1" applyBorder="1" applyAlignment="1" applyProtection="1">
      <alignment horizontal="center" vertical="center"/>
    </xf>
    <xf numFmtId="0" fontId="46" fillId="2" borderId="0" xfId="0" applyFont="1" applyFill="1" applyAlignment="1" applyProtection="1">
      <alignment horizontal="center"/>
    </xf>
    <xf numFmtId="0" fontId="44" fillId="2" borderId="0" xfId="0" applyFont="1" applyFill="1" applyAlignment="1" applyProtection="1">
      <alignment horizontal="center" vertical="center"/>
    </xf>
    <xf numFmtId="0" fontId="48" fillId="2" borderId="1" xfId="0" applyFont="1" applyFill="1" applyBorder="1" applyAlignment="1" applyProtection="1">
      <alignment horizontal="center" vertical="center"/>
    </xf>
    <xf numFmtId="3" fontId="43" fillId="2" borderId="1" xfId="0" applyNumberFormat="1" applyFont="1" applyFill="1" applyBorder="1" applyAlignment="1" applyProtection="1">
      <alignment horizontal="right" vertical="center" indent="2"/>
    </xf>
    <xf numFmtId="3" fontId="43" fillId="2" borderId="0" xfId="0" applyNumberFormat="1" applyFont="1" applyFill="1" applyBorder="1" applyAlignment="1" applyProtection="1">
      <alignment horizontal="right" vertical="center" indent="2"/>
    </xf>
    <xf numFmtId="3" fontId="48" fillId="2" borderId="0" xfId="0" applyNumberFormat="1" applyFont="1" applyFill="1" applyBorder="1" applyAlignment="1" applyProtection="1">
      <alignment horizontal="right" vertical="center" indent="2"/>
    </xf>
    <xf numFmtId="3" fontId="49" fillId="2" borderId="0" xfId="0" applyNumberFormat="1" applyFont="1" applyFill="1" applyBorder="1" applyAlignment="1" applyProtection="1">
      <alignment horizontal="right" vertical="center" indent="2"/>
    </xf>
    <xf numFmtId="0" fontId="50" fillId="2" borderId="0" xfId="0" applyFont="1" applyFill="1" applyBorder="1" applyAlignment="1" applyProtection="1">
      <alignment horizontal="center"/>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168" fontId="0" fillId="2" borderId="0" xfId="12" applyNumberFormat="1" applyFont="1" applyFill="1"/>
    <xf numFmtId="3" fontId="0" fillId="2" borderId="6" xfId="0" applyNumberFormat="1" applyFont="1" applyFill="1" applyBorder="1" applyAlignment="1" applyProtection="1">
      <alignment horizontal="center" vertical="center"/>
    </xf>
    <xf numFmtId="0" fontId="3" fillId="2" borderId="4" xfId="0" applyFont="1" applyFill="1" applyBorder="1" applyAlignment="1">
      <alignment horizontal="center" vertical="center" wrapText="1"/>
    </xf>
    <xf numFmtId="9" fontId="3" fillId="12" borderId="1" xfId="1" applyFont="1" applyFill="1" applyBorder="1" applyAlignment="1">
      <alignment horizontal="center" vertical="center"/>
    </xf>
    <xf numFmtId="0" fontId="45" fillId="2" borderId="0" xfId="0" applyFont="1" applyFill="1" applyBorder="1" applyAlignment="1" applyProtection="1">
      <alignment horizontal="left" vertical="center"/>
    </xf>
    <xf numFmtId="0" fontId="0" fillId="2" borderId="0" xfId="0" applyFont="1" applyFill="1" applyAlignment="1" applyProtection="1">
      <alignment vertical="center"/>
    </xf>
    <xf numFmtId="0" fontId="45" fillId="2" borderId="22" xfId="0" applyFont="1" applyFill="1" applyBorder="1" applyAlignment="1" applyProtection="1">
      <alignment horizontal="left" vertical="center"/>
    </xf>
    <xf numFmtId="3" fontId="56" fillId="2" borderId="0" xfId="0" applyNumberFormat="1" applyFont="1" applyFill="1" applyBorder="1" applyAlignment="1" applyProtection="1">
      <alignment horizontal="right" vertical="center" indent="2"/>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6" borderId="4"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5"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4"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14" borderId="1" xfId="0" applyFont="1" applyFill="1" applyBorder="1" applyAlignment="1" applyProtection="1">
      <alignment horizontal="center" vertical="center" wrapText="1"/>
    </xf>
    <xf numFmtId="0" fontId="19" fillId="14" borderId="1" xfId="0" applyFont="1" applyFill="1" applyBorder="1" applyAlignment="1" applyProtection="1">
      <alignment horizontal="center" vertical="center" wrapText="1"/>
    </xf>
    <xf numFmtId="0" fontId="3" fillId="15" borderId="1" xfId="0" applyFont="1" applyFill="1" applyBorder="1" applyAlignment="1" applyProtection="1">
      <alignment horizontal="center" vertical="center" wrapText="1"/>
    </xf>
    <xf numFmtId="0" fontId="3" fillId="16"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2"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48" fillId="5" borderId="1" xfId="0" applyNumberFormat="1" applyFont="1" applyFill="1" applyBorder="1" applyAlignment="1" applyProtection="1">
      <alignment horizontal="right" vertical="center" indent="2"/>
    </xf>
    <xf numFmtId="3" fontId="48" fillId="6" borderId="4" xfId="0" applyNumberFormat="1" applyFont="1" applyFill="1" applyBorder="1" applyAlignment="1" applyProtection="1">
      <alignment horizontal="right" vertical="center" indent="2"/>
    </xf>
    <xf numFmtId="3" fontId="48" fillId="3" borderId="1" xfId="0" applyNumberFormat="1" applyFont="1" applyFill="1" applyBorder="1" applyAlignment="1" applyProtection="1">
      <alignment horizontal="right" vertical="center" indent="2"/>
    </xf>
    <xf numFmtId="3" fontId="48" fillId="7" borderId="1" xfId="0" applyNumberFormat="1" applyFont="1" applyFill="1" applyBorder="1" applyAlignment="1" applyProtection="1">
      <alignment horizontal="right" vertical="center" indent="2"/>
    </xf>
    <xf numFmtId="3" fontId="48" fillId="17" borderId="1" xfId="0" applyNumberFormat="1" applyFont="1" applyFill="1" applyBorder="1" applyAlignment="1" applyProtection="1">
      <alignment horizontal="right" vertical="center" indent="2"/>
    </xf>
    <xf numFmtId="3" fontId="48" fillId="13" borderId="1" xfId="0" applyNumberFormat="1" applyFont="1" applyFill="1" applyBorder="1" applyAlignment="1" applyProtection="1">
      <alignment horizontal="right" vertical="center" indent="2"/>
    </xf>
    <xf numFmtId="0" fontId="3" fillId="7"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10" borderId="0" xfId="0" applyFill="1" applyAlignment="1" applyProtection="1">
      <alignment horizontal="left" vertical="center"/>
    </xf>
    <xf numFmtId="0" fontId="0" fillId="2" borderId="0" xfId="0" applyFill="1" applyAlignment="1" applyProtection="1">
      <alignment horizontal="center"/>
    </xf>
    <xf numFmtId="0" fontId="3" fillId="19" borderId="4" xfId="0" applyFont="1" applyFill="1" applyBorder="1" applyAlignment="1">
      <alignment horizontal="center" vertical="center" wrapText="1"/>
    </xf>
    <xf numFmtId="0" fontId="3" fillId="19" borderId="1" xfId="0" applyFont="1" applyFill="1" applyBorder="1" applyAlignment="1">
      <alignment horizontal="center" vertical="center"/>
    </xf>
    <xf numFmtId="0" fontId="3" fillId="19" borderId="6" xfId="0" applyFont="1" applyFill="1" applyBorder="1" applyAlignment="1">
      <alignment horizontal="center" vertical="center"/>
    </xf>
    <xf numFmtId="0" fontId="3" fillId="19" borderId="6" xfId="0" applyFont="1" applyFill="1" applyBorder="1" applyAlignment="1">
      <alignment horizontal="center" vertical="center" wrapText="1"/>
    </xf>
    <xf numFmtId="0" fontId="3" fillId="19" borderId="1" xfId="0" applyFont="1" applyFill="1" applyBorder="1" applyAlignment="1" applyProtection="1">
      <alignment horizontal="center" vertical="center" wrapText="1"/>
    </xf>
    <xf numFmtId="0" fontId="3" fillId="19" borderId="4" xfId="0"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2" fillId="19" borderId="2" xfId="4" applyFill="1" applyBorder="1" applyAlignment="1">
      <alignment horizontal="left" vertical="center" wrapText="1" indent="1"/>
    </xf>
    <xf numFmtId="0" fontId="12" fillId="19" borderId="2" xfId="4" applyFill="1" applyBorder="1" applyAlignment="1">
      <alignment horizontal="left" vertical="center" indent="1"/>
    </xf>
    <xf numFmtId="0" fontId="3" fillId="19" borderId="10" xfId="0" applyFont="1" applyFill="1" applyBorder="1" applyAlignment="1" applyProtection="1">
      <alignment horizontal="center" vertical="center" wrapText="1"/>
    </xf>
    <xf numFmtId="3" fontId="48" fillId="19" borderId="1" xfId="0" applyNumberFormat="1" applyFont="1" applyFill="1" applyBorder="1" applyAlignment="1" applyProtection="1">
      <alignment horizontal="right" vertical="center" indent="2"/>
    </xf>
    <xf numFmtId="0" fontId="21" fillId="19" borderId="0" xfId="0" applyFont="1" applyFill="1" applyAlignment="1">
      <alignment vertical="center"/>
    </xf>
    <xf numFmtId="0" fontId="0" fillId="19" borderId="0" xfId="0" applyFill="1" applyAlignment="1">
      <alignment vertical="center"/>
    </xf>
    <xf numFmtId="3" fontId="3" fillId="19" borderId="20" xfId="0" applyNumberFormat="1" applyFont="1" applyFill="1" applyBorder="1" applyAlignment="1">
      <alignment horizontal="center" vertical="center"/>
    </xf>
    <xf numFmtId="0" fontId="8" fillId="8" borderId="1" xfId="0" applyFont="1" applyFill="1" applyBorder="1" applyAlignment="1" applyProtection="1">
      <alignment horizontal="center" vertical="center" wrapText="1"/>
      <protection locked="0"/>
    </xf>
    <xf numFmtId="0" fontId="3" fillId="21" borderId="4"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3" fontId="0" fillId="2" borderId="0" xfId="0" applyNumberFormat="1" applyFill="1" applyBorder="1" applyAlignment="1" applyProtection="1">
      <alignment vertical="center"/>
    </xf>
    <xf numFmtId="0" fontId="3" fillId="2" borderId="0" xfId="0" applyFont="1" applyFill="1" applyBorder="1" applyAlignment="1" applyProtection="1">
      <alignment vertical="center" wrapText="1"/>
    </xf>
    <xf numFmtId="0" fontId="3" fillId="2" borderId="4" xfId="0" applyFont="1" applyFill="1" applyBorder="1" applyAlignment="1" applyProtection="1">
      <alignment horizontal="center" vertical="center" wrapText="1"/>
    </xf>
    <xf numFmtId="0" fontId="58" fillId="2" borderId="0" xfId="0" applyFont="1" applyFill="1" applyAlignment="1" applyProtection="1">
      <alignment horizontal="center"/>
    </xf>
    <xf numFmtId="43" fontId="0" fillId="4" borderId="14" xfId="0" applyNumberFormat="1" applyFill="1" applyBorder="1" applyAlignment="1" applyProtection="1">
      <alignment horizontal="left"/>
    </xf>
    <xf numFmtId="43" fontId="0" fillId="4" borderId="0" xfId="0" applyNumberFormat="1" applyFill="1" applyBorder="1" applyAlignment="1" applyProtection="1">
      <alignment horizontal="left"/>
    </xf>
    <xf numFmtId="43" fontId="0" fillId="4" borderId="15" xfId="0" applyNumberFormat="1" applyFill="1" applyBorder="1" applyAlignment="1" applyProtection="1">
      <alignment horizontal="left"/>
    </xf>
    <xf numFmtId="0" fontId="58" fillId="2" borderId="0" xfId="0" applyFont="1" applyFill="1" applyAlignment="1" applyProtection="1">
      <alignment horizontal="center" wrapText="1"/>
    </xf>
    <xf numFmtId="0" fontId="0" fillId="10" borderId="0" xfId="0" applyFill="1" applyAlignment="1" applyProtection="1">
      <alignment horizontal="left" vertical="center" indent="1"/>
    </xf>
    <xf numFmtId="3" fontId="0" fillId="8" borderId="4" xfId="0" applyNumberFormat="1" applyFill="1" applyBorder="1" applyAlignment="1" applyProtection="1">
      <alignment horizontal="right" indent="1"/>
      <protection locked="0"/>
    </xf>
    <xf numFmtId="166" fontId="0" fillId="8" borderId="7" xfId="0" applyNumberFormat="1" applyFill="1" applyBorder="1" applyAlignment="1" applyProtection="1">
      <alignment horizontal="right" indent="1"/>
      <protection locked="0"/>
    </xf>
    <xf numFmtId="4" fontId="0" fillId="8" borderId="7" xfId="0" applyNumberFormat="1" applyFill="1" applyBorder="1" applyAlignment="1" applyProtection="1">
      <alignment horizontal="right" indent="1"/>
      <protection locked="0"/>
    </xf>
    <xf numFmtId="3" fontId="0" fillId="8" borderId="8" xfId="0" applyNumberFormat="1" applyFill="1" applyBorder="1" applyAlignment="1" applyProtection="1">
      <alignment horizontal="right" indent="1"/>
      <protection locked="0"/>
    </xf>
    <xf numFmtId="3" fontId="0" fillId="8" borderId="5" xfId="0" applyNumberFormat="1" applyFill="1" applyBorder="1" applyAlignment="1" applyProtection="1">
      <alignment horizontal="right" indent="1"/>
      <protection locked="0"/>
    </xf>
    <xf numFmtId="3" fontId="0" fillId="2" borderId="5" xfId="0" applyNumberFormat="1" applyFill="1" applyBorder="1" applyAlignment="1" applyProtection="1">
      <alignment horizontal="right" indent="1"/>
    </xf>
    <xf numFmtId="165" fontId="0" fillId="4" borderId="5" xfId="0" applyNumberFormat="1" applyFill="1" applyBorder="1" applyAlignment="1" applyProtection="1">
      <alignment horizontal="right" indent="1"/>
    </xf>
    <xf numFmtId="166" fontId="0" fillId="8" borderId="8" xfId="0" applyNumberFormat="1" applyFill="1" applyBorder="1" applyAlignment="1" applyProtection="1">
      <alignment horizontal="right" indent="1"/>
      <protection locked="0"/>
    </xf>
    <xf numFmtId="4" fontId="0" fillId="8" borderId="8" xfId="0" applyNumberFormat="1" applyFill="1" applyBorder="1" applyAlignment="1" applyProtection="1">
      <alignment horizontal="right" indent="1"/>
      <protection locked="0"/>
    </xf>
    <xf numFmtId="3" fontId="0" fillId="8" borderId="6" xfId="0" applyNumberFormat="1" applyFill="1" applyBorder="1" applyAlignment="1" applyProtection="1">
      <alignment horizontal="right" indent="1"/>
      <protection locked="0"/>
    </xf>
    <xf numFmtId="166" fontId="0" fillId="8" borderId="9" xfId="0" applyNumberFormat="1" applyFill="1" applyBorder="1" applyAlignment="1" applyProtection="1">
      <alignment horizontal="right" indent="1"/>
      <protection locked="0"/>
    </xf>
    <xf numFmtId="4" fontId="0" fillId="8" borderId="9" xfId="0" applyNumberFormat="1" applyFill="1" applyBorder="1" applyAlignment="1" applyProtection="1">
      <alignment horizontal="right" indent="1"/>
      <protection locked="0"/>
    </xf>
    <xf numFmtId="3" fontId="0" fillId="4" borderId="4" xfId="0" applyNumberFormat="1" applyFill="1" applyBorder="1" applyAlignment="1" applyProtection="1">
      <alignment horizontal="right" indent="1"/>
    </xf>
    <xf numFmtId="166" fontId="0" fillId="4" borderId="4" xfId="0" applyNumberFormat="1" applyFill="1" applyBorder="1" applyAlignment="1" applyProtection="1">
      <alignment horizontal="right" indent="1"/>
    </xf>
    <xf numFmtId="4" fontId="0" fillId="4" borderId="7" xfId="0" applyNumberFormat="1" applyFill="1" applyBorder="1" applyAlignment="1" applyProtection="1">
      <alignment horizontal="right" indent="1"/>
    </xf>
    <xf numFmtId="3" fontId="0" fillId="4" borderId="7" xfId="0" applyNumberFormat="1" applyFill="1" applyBorder="1" applyAlignment="1" applyProtection="1">
      <alignment horizontal="right" indent="1"/>
    </xf>
    <xf numFmtId="0" fontId="0" fillId="2" borderId="0" xfId="0" applyFill="1" applyAlignment="1" applyProtection="1">
      <alignment horizontal="right" indent="1"/>
    </xf>
    <xf numFmtId="3" fontId="0" fillId="2" borderId="4" xfId="0" applyNumberFormat="1" applyFill="1" applyBorder="1" applyAlignment="1" applyProtection="1">
      <alignment horizontal="right" indent="1"/>
    </xf>
    <xf numFmtId="3" fontId="0" fillId="2" borderId="7" xfId="0" applyNumberFormat="1" applyFill="1" applyBorder="1" applyAlignment="1" applyProtection="1">
      <alignment horizontal="right" indent="1"/>
    </xf>
    <xf numFmtId="3" fontId="0" fillId="5" borderId="7" xfId="0" applyNumberFormat="1" applyFill="1" applyBorder="1" applyAlignment="1" applyProtection="1">
      <alignment horizontal="right" indent="1"/>
    </xf>
    <xf numFmtId="165" fontId="0" fillId="2" borderId="4" xfId="1" applyNumberFormat="1" applyFont="1" applyFill="1" applyBorder="1" applyAlignment="1" applyProtection="1">
      <alignment horizontal="right" indent="1"/>
    </xf>
    <xf numFmtId="3" fontId="0" fillId="4" borderId="5" xfId="0" applyNumberFormat="1" applyFill="1" applyBorder="1" applyAlignment="1" applyProtection="1">
      <alignment horizontal="right" indent="1"/>
    </xf>
    <xf numFmtId="166" fontId="0" fillId="4" borderId="5" xfId="0" applyNumberFormat="1" applyFill="1" applyBorder="1" applyAlignment="1" applyProtection="1">
      <alignment horizontal="right" indent="1"/>
    </xf>
    <xf numFmtId="4" fontId="0" fillId="4" borderId="8" xfId="0" applyNumberFormat="1" applyFill="1" applyBorder="1" applyAlignment="1" applyProtection="1">
      <alignment horizontal="right" indent="1"/>
    </xf>
    <xf numFmtId="3" fontId="0" fillId="4" borderId="8" xfId="0" applyNumberFormat="1" applyFill="1" applyBorder="1" applyAlignment="1" applyProtection="1">
      <alignment horizontal="right" indent="1"/>
    </xf>
    <xf numFmtId="3" fontId="0" fillId="2" borderId="8" xfId="0" applyNumberFormat="1" applyFill="1" applyBorder="1" applyAlignment="1" applyProtection="1">
      <alignment horizontal="right" indent="1"/>
    </xf>
    <xf numFmtId="3" fontId="0" fillId="5" borderId="8" xfId="0" applyNumberFormat="1" applyFill="1" applyBorder="1" applyAlignment="1" applyProtection="1">
      <alignment horizontal="right" indent="1"/>
    </xf>
    <xf numFmtId="165" fontId="0" fillId="2" borderId="5" xfId="1" applyNumberFormat="1" applyFont="1" applyFill="1" applyBorder="1" applyAlignment="1" applyProtection="1">
      <alignment horizontal="right" indent="1"/>
    </xf>
    <xf numFmtId="166" fontId="0" fillId="4" borderId="6" xfId="0" applyNumberFormat="1" applyFill="1" applyBorder="1" applyAlignment="1" applyProtection="1">
      <alignment horizontal="right" indent="1"/>
    </xf>
    <xf numFmtId="4" fontId="0" fillId="4" borderId="9" xfId="0" applyNumberFormat="1" applyFill="1" applyBorder="1" applyAlignment="1" applyProtection="1">
      <alignment horizontal="right" indent="1"/>
    </xf>
    <xf numFmtId="3" fontId="0" fillId="2" borderId="6" xfId="0" applyNumberFormat="1" applyFill="1" applyBorder="1" applyAlignment="1" applyProtection="1">
      <alignment horizontal="right" indent="1"/>
    </xf>
    <xf numFmtId="3" fontId="0" fillId="2" borderId="9" xfId="0" applyNumberFormat="1" applyFill="1" applyBorder="1" applyAlignment="1" applyProtection="1">
      <alignment horizontal="right" indent="1"/>
    </xf>
    <xf numFmtId="3" fontId="0" fillId="5" borderId="9" xfId="0" applyNumberFormat="1" applyFill="1" applyBorder="1" applyAlignment="1" applyProtection="1">
      <alignment horizontal="right" indent="1"/>
    </xf>
    <xf numFmtId="165" fontId="0" fillId="2" borderId="6" xfId="1" applyNumberFormat="1" applyFont="1" applyFill="1" applyBorder="1" applyAlignment="1" applyProtection="1">
      <alignment horizontal="right" indent="1"/>
    </xf>
    <xf numFmtId="3" fontId="0" fillId="2" borderId="1" xfId="0" applyNumberFormat="1" applyFont="1" applyFill="1" applyBorder="1" applyAlignment="1" applyProtection="1">
      <alignment horizontal="right" indent="1"/>
    </xf>
    <xf numFmtId="0" fontId="0" fillId="2" borderId="0" xfId="0" applyFont="1" applyFill="1" applyAlignment="1" applyProtection="1">
      <alignment horizontal="right" indent="1"/>
    </xf>
    <xf numFmtId="3" fontId="0" fillId="2" borderId="6" xfId="0" applyNumberFormat="1" applyFont="1" applyFill="1" applyBorder="1" applyAlignment="1" applyProtection="1">
      <alignment horizontal="right" indent="1"/>
    </xf>
    <xf numFmtId="3" fontId="0" fillId="5" borderId="6" xfId="0" applyNumberFormat="1" applyFont="1" applyFill="1" applyBorder="1" applyAlignment="1" applyProtection="1">
      <alignment horizontal="right" indent="1"/>
    </xf>
    <xf numFmtId="165" fontId="1" fillId="2" borderId="1" xfId="1" applyNumberFormat="1" applyFont="1" applyFill="1" applyBorder="1" applyAlignment="1" applyProtection="1">
      <alignment horizontal="right" indent="1"/>
    </xf>
    <xf numFmtId="3" fontId="0" fillId="2" borderId="0" xfId="0" applyNumberFormat="1" applyFill="1" applyBorder="1" applyAlignment="1" applyProtection="1">
      <alignment horizontal="right" indent="1"/>
    </xf>
    <xf numFmtId="3" fontId="0" fillId="2" borderId="4" xfId="0" quotePrefix="1" applyNumberFormat="1" applyFill="1" applyBorder="1" applyAlignment="1" applyProtection="1">
      <alignment horizontal="right" indent="1"/>
    </xf>
    <xf numFmtId="3" fontId="0" fillId="2" borderId="14" xfId="0" applyNumberFormat="1" applyFill="1" applyBorder="1" applyAlignment="1" applyProtection="1">
      <alignment horizontal="right" indent="1"/>
    </xf>
    <xf numFmtId="3" fontId="0" fillId="5" borderId="4" xfId="0" applyNumberFormat="1" applyFill="1" applyBorder="1" applyAlignment="1" applyProtection="1">
      <alignment horizontal="right" indent="1"/>
    </xf>
    <xf numFmtId="3" fontId="0" fillId="2" borderId="10" xfId="0" applyNumberFormat="1" applyFill="1" applyBorder="1" applyAlignment="1" applyProtection="1">
      <alignment horizontal="right" indent="1"/>
    </xf>
    <xf numFmtId="3" fontId="0" fillId="4" borderId="10" xfId="0" applyNumberFormat="1" applyFill="1" applyBorder="1" applyAlignment="1" applyProtection="1">
      <alignment horizontal="right" indent="1"/>
    </xf>
    <xf numFmtId="3" fontId="0" fillId="2" borderId="5" xfId="0" quotePrefix="1" applyNumberFormat="1" applyFill="1" applyBorder="1" applyAlignment="1" applyProtection="1">
      <alignment horizontal="right" indent="1"/>
    </xf>
    <xf numFmtId="3" fontId="0" fillId="5" borderId="5" xfId="0" applyNumberFormat="1" applyFill="1" applyBorder="1" applyAlignment="1" applyProtection="1">
      <alignment horizontal="right" indent="1"/>
    </xf>
    <xf numFmtId="3" fontId="0" fillId="2" borderId="11" xfId="0" applyNumberFormat="1" applyFill="1" applyBorder="1" applyAlignment="1" applyProtection="1">
      <alignment horizontal="right" indent="1"/>
    </xf>
    <xf numFmtId="3" fontId="0" fillId="4" borderId="11" xfId="0" applyNumberFormat="1" applyFill="1" applyBorder="1" applyAlignment="1" applyProtection="1">
      <alignment horizontal="right" indent="1"/>
    </xf>
    <xf numFmtId="3" fontId="0" fillId="4" borderId="9" xfId="0" applyNumberFormat="1" applyFill="1" applyBorder="1" applyAlignment="1" applyProtection="1">
      <alignment horizontal="right" indent="1"/>
    </xf>
    <xf numFmtId="3" fontId="0" fillId="4" borderId="6" xfId="0" applyNumberFormat="1" applyFill="1" applyBorder="1" applyAlignment="1" applyProtection="1">
      <alignment horizontal="right" indent="1"/>
    </xf>
    <xf numFmtId="3" fontId="0" fillId="2" borderId="6" xfId="0" quotePrefix="1" applyNumberFormat="1" applyFill="1" applyBorder="1" applyAlignment="1" applyProtection="1">
      <alignment horizontal="right" indent="1"/>
    </xf>
    <xf numFmtId="3" fontId="0" fillId="2" borderId="15" xfId="0" applyNumberFormat="1" applyFill="1" applyBorder="1" applyAlignment="1" applyProtection="1">
      <alignment horizontal="right" indent="1"/>
    </xf>
    <xf numFmtId="3" fontId="0" fillId="5" borderId="6" xfId="0" applyNumberFormat="1" applyFill="1" applyBorder="1" applyAlignment="1" applyProtection="1">
      <alignment horizontal="right" indent="1"/>
    </xf>
    <xf numFmtId="3" fontId="0" fillId="2" borderId="12" xfId="0" applyNumberFormat="1" applyFill="1" applyBorder="1" applyAlignment="1" applyProtection="1">
      <alignment horizontal="right" indent="1"/>
    </xf>
    <xf numFmtId="3" fontId="0" fillId="2" borderId="1" xfId="0" applyNumberFormat="1" applyFill="1" applyBorder="1" applyAlignment="1" applyProtection="1">
      <alignment horizontal="right" indent="1"/>
    </xf>
    <xf numFmtId="3" fontId="0" fillId="5" borderId="1" xfId="0" applyNumberFormat="1" applyFill="1" applyBorder="1" applyAlignment="1" applyProtection="1">
      <alignment horizontal="right" indent="1"/>
    </xf>
    <xf numFmtId="9" fontId="0" fillId="2" borderId="1" xfId="1" applyFont="1" applyFill="1" applyBorder="1" applyAlignment="1" applyProtection="1">
      <alignment horizontal="right" indent="1"/>
    </xf>
    <xf numFmtId="4" fontId="0" fillId="2" borderId="7" xfId="0" applyNumberFormat="1" applyFill="1" applyBorder="1" applyAlignment="1" applyProtection="1">
      <alignment horizontal="right" indent="1"/>
    </xf>
    <xf numFmtId="3" fontId="0" fillId="9" borderId="4" xfId="0" applyNumberFormat="1" applyFill="1" applyBorder="1" applyAlignment="1" applyProtection="1">
      <alignment horizontal="right" indent="1"/>
    </xf>
    <xf numFmtId="3" fontId="0" fillId="2" borderId="0" xfId="0" applyNumberFormat="1" applyFill="1" applyAlignment="1" applyProtection="1">
      <alignment horizontal="right" indent="1"/>
    </xf>
    <xf numFmtId="3" fontId="0" fillId="4" borderId="10" xfId="0" applyNumberFormat="1" applyFill="1" applyBorder="1" applyAlignment="1">
      <alignment horizontal="right" indent="1"/>
    </xf>
    <xf numFmtId="3" fontId="0" fillId="4" borderId="0" xfId="0" applyNumberFormat="1" applyFill="1" applyAlignment="1" applyProtection="1">
      <alignment horizontal="right" indent="1"/>
    </xf>
    <xf numFmtId="4" fontId="0" fillId="2" borderId="14" xfId="0" applyNumberFormat="1" applyFill="1" applyBorder="1" applyAlignment="1" applyProtection="1">
      <alignment horizontal="right" indent="1"/>
    </xf>
    <xf numFmtId="4" fontId="0" fillId="2" borderId="8" xfId="0" applyNumberFormat="1" applyFill="1" applyBorder="1" applyAlignment="1" applyProtection="1">
      <alignment horizontal="right" indent="1"/>
    </xf>
    <xf numFmtId="3" fontId="0" fillId="9" borderId="5" xfId="0" applyNumberFormat="1" applyFill="1" applyBorder="1" applyAlignment="1" applyProtection="1">
      <alignment horizontal="right" indent="1"/>
    </xf>
    <xf numFmtId="3" fontId="0" fillId="4" borderId="11" xfId="0" applyNumberFormat="1" applyFill="1" applyBorder="1" applyAlignment="1">
      <alignment horizontal="right" indent="1"/>
    </xf>
    <xf numFmtId="4" fontId="0" fillId="2" borderId="0" xfId="0" applyNumberFormat="1" applyFill="1" applyBorder="1" applyAlignment="1" applyProtection="1">
      <alignment horizontal="right" indent="1"/>
    </xf>
    <xf numFmtId="4" fontId="0" fillId="2" borderId="9" xfId="0" applyNumberFormat="1" applyFill="1" applyBorder="1" applyAlignment="1" applyProtection="1">
      <alignment horizontal="right" indent="1"/>
    </xf>
    <xf numFmtId="3" fontId="0" fillId="9" borderId="6" xfId="0" applyNumberFormat="1" applyFill="1" applyBorder="1" applyAlignment="1" applyProtection="1">
      <alignment horizontal="right" indent="1"/>
    </xf>
    <xf numFmtId="3" fontId="0" fillId="4" borderId="12" xfId="0" applyNumberFormat="1" applyFill="1" applyBorder="1" applyAlignment="1">
      <alignment horizontal="right" indent="1"/>
    </xf>
    <xf numFmtId="4" fontId="0" fillId="2" borderId="15" xfId="0" applyNumberFormat="1" applyFill="1" applyBorder="1" applyAlignment="1" applyProtection="1">
      <alignment horizontal="right" indent="1"/>
    </xf>
    <xf numFmtId="3" fontId="0" fillId="4" borderId="1" xfId="0" applyNumberFormat="1" applyFill="1" applyBorder="1" applyAlignment="1" applyProtection="1">
      <alignment horizontal="right" indent="1"/>
    </xf>
    <xf numFmtId="3" fontId="0" fillId="2" borderId="2" xfId="0" applyNumberFormat="1" applyFill="1" applyBorder="1" applyAlignment="1" applyProtection="1">
      <alignment horizontal="right" indent="1"/>
    </xf>
    <xf numFmtId="3" fontId="0" fillId="2" borderId="6" xfId="1" applyNumberFormat="1" applyFont="1" applyFill="1" applyBorder="1" applyAlignment="1" applyProtection="1">
      <alignment horizontal="right" indent="1"/>
    </xf>
    <xf numFmtId="4" fontId="0" fillId="2" borderId="1" xfId="0" applyNumberFormat="1" applyFill="1" applyBorder="1" applyAlignment="1" applyProtection="1">
      <alignment horizontal="right" indent="1"/>
    </xf>
    <xf numFmtId="3" fontId="0" fillId="4" borderId="4" xfId="0" applyNumberFormat="1" applyFill="1" applyBorder="1" applyAlignment="1">
      <alignment horizontal="right" vertical="center" indent="1"/>
    </xf>
    <xf numFmtId="3" fontId="0" fillId="2" borderId="10" xfId="0" applyNumberFormat="1" applyFill="1" applyBorder="1" applyAlignment="1">
      <alignment horizontal="right" vertical="center" indent="1"/>
    </xf>
    <xf numFmtId="3" fontId="0" fillId="2" borderId="4" xfId="0" applyNumberFormat="1" applyFill="1" applyBorder="1" applyAlignment="1">
      <alignment horizontal="right" vertical="center" indent="1"/>
    </xf>
    <xf numFmtId="3" fontId="0" fillId="2" borderId="14" xfId="0" applyNumberFormat="1" applyFill="1" applyBorder="1" applyAlignment="1">
      <alignment horizontal="right" vertical="center" indent="1"/>
    </xf>
    <xf numFmtId="3" fontId="0" fillId="2" borderId="7" xfId="0" applyNumberFormat="1" applyFill="1" applyBorder="1" applyAlignment="1">
      <alignment horizontal="right" vertical="center" indent="1"/>
    </xf>
    <xf numFmtId="3" fontId="0" fillId="2" borderId="0" xfId="0" applyNumberFormat="1" applyFill="1" applyBorder="1" applyAlignment="1">
      <alignment horizontal="right" vertical="center" indent="1"/>
    </xf>
    <xf numFmtId="3" fontId="0" fillId="2" borderId="11" xfId="0" applyNumberFormat="1" applyFill="1" applyBorder="1" applyAlignment="1">
      <alignment horizontal="right" vertical="center" indent="1"/>
    </xf>
    <xf numFmtId="3" fontId="0" fillId="3" borderId="7" xfId="0" applyNumberFormat="1" applyFill="1" applyBorder="1" applyAlignment="1">
      <alignment horizontal="right" vertical="center" indent="1"/>
    </xf>
    <xf numFmtId="3" fontId="0" fillId="2" borderId="0" xfId="0" applyNumberFormat="1" applyFill="1" applyAlignment="1">
      <alignment horizontal="right" vertical="center" indent="1"/>
    </xf>
    <xf numFmtId="3" fontId="0" fillId="4" borderId="10" xfId="0" applyNumberFormat="1" applyFill="1" applyBorder="1" applyAlignment="1" applyProtection="1">
      <alignment horizontal="right" vertical="center" indent="1"/>
    </xf>
    <xf numFmtId="3" fontId="0" fillId="4" borderId="4" xfId="0" applyNumberFormat="1" applyFill="1" applyBorder="1" applyAlignment="1" applyProtection="1">
      <alignment horizontal="right" vertical="center" indent="1"/>
    </xf>
    <xf numFmtId="3" fontId="0" fillId="2" borderId="14" xfId="0" applyNumberFormat="1" applyFill="1" applyBorder="1" applyAlignment="1" applyProtection="1">
      <alignment horizontal="right" vertical="center" indent="1"/>
    </xf>
    <xf numFmtId="3" fontId="0" fillId="2" borderId="4" xfId="0" applyNumberFormat="1" applyFill="1" applyBorder="1" applyAlignment="1" applyProtection="1">
      <alignment horizontal="right" vertical="center" indent="1"/>
    </xf>
    <xf numFmtId="3" fontId="0" fillId="3" borderId="4" xfId="0" applyNumberFormat="1" applyFill="1" applyBorder="1" applyAlignment="1">
      <alignment horizontal="right" vertical="center" indent="1"/>
    </xf>
    <xf numFmtId="3" fontId="0" fillId="4" borderId="5" xfId="0" applyNumberFormat="1" applyFill="1" applyBorder="1" applyAlignment="1">
      <alignment horizontal="right" vertical="center" indent="1"/>
    </xf>
    <xf numFmtId="3" fontId="0" fillId="2" borderId="5" xfId="0" applyNumberFormat="1" applyFill="1" applyBorder="1" applyAlignment="1">
      <alignment horizontal="right" vertical="center" indent="1"/>
    </xf>
    <xf numFmtId="3" fontId="0" fillId="2" borderId="8" xfId="0" applyNumberFormat="1" applyFill="1" applyBorder="1" applyAlignment="1">
      <alignment horizontal="right" vertical="center" indent="1"/>
    </xf>
    <xf numFmtId="3" fontId="0" fillId="3" borderId="8" xfId="0" applyNumberFormat="1" applyFill="1" applyBorder="1" applyAlignment="1">
      <alignment horizontal="right" vertical="center" indent="1"/>
    </xf>
    <xf numFmtId="3" fontId="0" fillId="4" borderId="11" xfId="0" applyNumberFormat="1" applyFill="1" applyBorder="1" applyAlignment="1" applyProtection="1">
      <alignment horizontal="right" vertical="center" indent="1"/>
    </xf>
    <xf numFmtId="3" fontId="0" fillId="4" borderId="5" xfId="0" applyNumberFormat="1" applyFill="1" applyBorder="1" applyAlignment="1" applyProtection="1">
      <alignment horizontal="right" vertical="center" indent="1"/>
    </xf>
    <xf numFmtId="3" fontId="0" fillId="2" borderId="0" xfId="0" applyNumberFormat="1" applyFill="1" applyBorder="1" applyAlignment="1" applyProtection="1">
      <alignment horizontal="right" vertical="center" indent="1"/>
    </xf>
    <xf numFmtId="3" fontId="0" fillId="2" borderId="5" xfId="0" applyNumberFormat="1" applyFill="1" applyBorder="1" applyAlignment="1" applyProtection="1">
      <alignment horizontal="right" vertical="center" indent="1"/>
    </xf>
    <xf numFmtId="3" fontId="0" fillId="3" borderId="5" xfId="0" applyNumberFormat="1" applyFill="1" applyBorder="1" applyAlignment="1">
      <alignment horizontal="right" vertical="center" indent="1"/>
    </xf>
    <xf numFmtId="3" fontId="0" fillId="4" borderId="6" xfId="0" applyNumberFormat="1" applyFill="1" applyBorder="1" applyAlignment="1">
      <alignment horizontal="right" vertical="center" indent="1"/>
    </xf>
    <xf numFmtId="3" fontId="0" fillId="2" borderId="12" xfId="0" applyNumberFormat="1" applyFill="1" applyBorder="1" applyAlignment="1">
      <alignment horizontal="right" vertical="center" indent="1"/>
    </xf>
    <xf numFmtId="3" fontId="0" fillId="2" borderId="6" xfId="0" applyNumberFormat="1" applyFill="1" applyBorder="1" applyAlignment="1">
      <alignment horizontal="right" vertical="center" indent="1"/>
    </xf>
    <xf numFmtId="3" fontId="0" fillId="2" borderId="15" xfId="0" applyNumberFormat="1" applyFill="1" applyBorder="1" applyAlignment="1">
      <alignment horizontal="right" vertical="center" indent="1"/>
    </xf>
    <xf numFmtId="3" fontId="0" fillId="2" borderId="9" xfId="0" applyNumberFormat="1" applyFill="1" applyBorder="1" applyAlignment="1">
      <alignment horizontal="right" vertical="center" indent="1"/>
    </xf>
    <xf numFmtId="3" fontId="0" fillId="3" borderId="9" xfId="0" applyNumberFormat="1" applyFill="1" applyBorder="1" applyAlignment="1">
      <alignment horizontal="right" vertical="center" indent="1"/>
    </xf>
    <xf numFmtId="3" fontId="0" fillId="4" borderId="12" xfId="0" applyNumberFormat="1" applyFill="1" applyBorder="1" applyAlignment="1" applyProtection="1">
      <alignment horizontal="right" vertical="center" indent="1"/>
    </xf>
    <xf numFmtId="3" fontId="0" fillId="4" borderId="6" xfId="0" applyNumberFormat="1" applyFill="1" applyBorder="1" applyAlignment="1" applyProtection="1">
      <alignment horizontal="right" vertical="center" indent="1"/>
    </xf>
    <xf numFmtId="3" fontId="0" fillId="2" borderId="15" xfId="0" applyNumberFormat="1" applyFill="1" applyBorder="1" applyAlignment="1" applyProtection="1">
      <alignment horizontal="right" vertical="center" indent="1"/>
    </xf>
    <xf numFmtId="3" fontId="0" fillId="2" borderId="6" xfId="0" applyNumberFormat="1" applyFill="1" applyBorder="1" applyAlignment="1" applyProtection="1">
      <alignment horizontal="right" vertical="center" indent="1"/>
    </xf>
    <xf numFmtId="3" fontId="0" fillId="3" borderId="6" xfId="0" applyNumberFormat="1" applyFill="1" applyBorder="1" applyAlignment="1">
      <alignment horizontal="right" vertical="center" indent="1"/>
    </xf>
    <xf numFmtId="3" fontId="0" fillId="2" borderId="1" xfId="0" applyNumberFormat="1" applyFill="1" applyBorder="1" applyAlignment="1">
      <alignment horizontal="right" vertical="center" indent="1"/>
    </xf>
    <xf numFmtId="0" fontId="0" fillId="2" borderId="0" xfId="0" applyFill="1" applyAlignment="1">
      <alignment horizontal="right" vertical="center" indent="1"/>
    </xf>
    <xf numFmtId="0" fontId="0" fillId="3" borderId="6" xfId="0" applyFill="1" applyBorder="1" applyAlignment="1" applyProtection="1">
      <alignment horizontal="right" vertical="center" indent="1"/>
    </xf>
    <xf numFmtId="3" fontId="0" fillId="2" borderId="1" xfId="0" applyNumberFormat="1" applyFill="1" applyBorder="1" applyAlignment="1" applyProtection="1">
      <alignment horizontal="right" vertical="center" indent="1"/>
    </xf>
    <xf numFmtId="3" fontId="0" fillId="4" borderId="14" xfId="0" applyNumberFormat="1" applyFill="1" applyBorder="1" applyAlignment="1">
      <alignment horizontal="right" vertical="center" indent="1"/>
    </xf>
    <xf numFmtId="3" fontId="0" fillId="19" borderId="4" xfId="0" applyNumberFormat="1" applyFill="1" applyBorder="1" applyAlignment="1">
      <alignment horizontal="right" vertical="center" indent="1"/>
    </xf>
    <xf numFmtId="3" fontId="0" fillId="4" borderId="0" xfId="0" applyNumberFormat="1" applyFill="1" applyBorder="1" applyAlignment="1">
      <alignment horizontal="right" vertical="center" indent="1"/>
    </xf>
    <xf numFmtId="3" fontId="0" fillId="19" borderId="5" xfId="0" applyNumberFormat="1" applyFill="1" applyBorder="1" applyAlignment="1">
      <alignment horizontal="right" vertical="center" indent="1"/>
    </xf>
    <xf numFmtId="3" fontId="0" fillId="4" borderId="15" xfId="0" applyNumberFormat="1" applyFill="1" applyBorder="1" applyAlignment="1">
      <alignment horizontal="right" vertical="center" indent="1"/>
    </xf>
    <xf numFmtId="3" fontId="0" fillId="19" borderId="6" xfId="0" applyNumberFormat="1" applyFill="1" applyBorder="1" applyAlignment="1">
      <alignment horizontal="right" vertical="center" indent="1"/>
    </xf>
    <xf numFmtId="3" fontId="0" fillId="4" borderId="0" xfId="0" applyNumberFormat="1" applyFill="1" applyAlignment="1" applyProtection="1">
      <alignment horizontal="right" vertical="center" indent="1"/>
    </xf>
    <xf numFmtId="3" fontId="0" fillId="2" borderId="11" xfId="0" applyNumberFormat="1" applyFill="1" applyBorder="1" applyAlignment="1" applyProtection="1">
      <alignment horizontal="right" vertical="center" indent="1"/>
    </xf>
    <xf numFmtId="3" fontId="0" fillId="2" borderId="8" xfId="0" applyNumberFormat="1" applyFill="1" applyBorder="1" applyAlignment="1" applyProtection="1">
      <alignment horizontal="right" vertical="center" indent="1"/>
    </xf>
    <xf numFmtId="3" fontId="0" fillId="2" borderId="10" xfId="0" applyNumberFormat="1" applyFill="1" applyBorder="1" applyAlignment="1" applyProtection="1">
      <alignment horizontal="right" vertical="center" indent="1"/>
    </xf>
    <xf numFmtId="3" fontId="0" fillId="19" borderId="4" xfId="0" applyNumberFormat="1" applyFill="1" applyBorder="1" applyAlignment="1" applyProtection="1">
      <alignment horizontal="right" vertical="center" indent="1"/>
    </xf>
    <xf numFmtId="3" fontId="0" fillId="19" borderId="5" xfId="0" applyNumberFormat="1" applyFill="1" applyBorder="1" applyAlignment="1" applyProtection="1">
      <alignment horizontal="right" vertical="center" indent="1"/>
    </xf>
    <xf numFmtId="3" fontId="0" fillId="2" borderId="12" xfId="0" applyNumberFormat="1" applyFill="1" applyBorder="1" applyAlignment="1" applyProtection="1">
      <alignment horizontal="right" vertical="center" indent="1"/>
    </xf>
    <xf numFmtId="3" fontId="0" fillId="19" borderId="6" xfId="0" applyNumberFormat="1" applyFill="1" applyBorder="1" applyAlignment="1" applyProtection="1">
      <alignment horizontal="right" vertical="center" indent="1"/>
    </xf>
    <xf numFmtId="3" fontId="0" fillId="2" borderId="2" xfId="0" applyNumberFormat="1" applyFill="1" applyBorder="1" applyAlignment="1">
      <alignment horizontal="right" vertical="center" indent="1"/>
    </xf>
    <xf numFmtId="0" fontId="0" fillId="2" borderId="1" xfId="0" applyFill="1" applyBorder="1" applyAlignment="1" applyProtection="1">
      <alignment horizontal="right" vertical="center" indent="1"/>
    </xf>
    <xf numFmtId="3" fontId="0" fillId="2" borderId="3" xfId="0" applyNumberFormat="1" applyFill="1" applyBorder="1" applyAlignment="1" applyProtection="1">
      <alignment horizontal="right" vertical="center" indent="1"/>
    </xf>
    <xf numFmtId="3" fontId="0" fillId="4" borderId="7" xfId="0" applyNumberFormat="1" applyFill="1" applyBorder="1" applyAlignment="1">
      <alignment horizontal="right" vertical="center" indent="1"/>
    </xf>
    <xf numFmtId="3" fontId="0" fillId="7" borderId="4" xfId="0" applyNumberFormat="1" applyFill="1" applyBorder="1" applyAlignment="1">
      <alignment horizontal="right" vertical="center" indent="1"/>
    </xf>
    <xf numFmtId="3" fontId="0" fillId="4" borderId="8" xfId="0" applyNumberFormat="1" applyFill="1" applyBorder="1" applyAlignment="1">
      <alignment horizontal="right" vertical="center" indent="1"/>
    </xf>
    <xf numFmtId="3" fontId="0" fillId="7" borderId="5" xfId="0" applyNumberFormat="1" applyFill="1" applyBorder="1" applyAlignment="1">
      <alignment horizontal="right" vertical="center" indent="1"/>
    </xf>
    <xf numFmtId="3" fontId="0" fillId="4" borderId="9" xfId="0" applyNumberFormat="1" applyFill="1" applyBorder="1" applyAlignment="1">
      <alignment horizontal="right" vertical="center" indent="1"/>
    </xf>
    <xf numFmtId="3" fontId="0" fillId="7" borderId="6" xfId="0" applyNumberFormat="1" applyFill="1" applyBorder="1" applyAlignment="1">
      <alignment horizontal="right" vertical="center" indent="1"/>
    </xf>
    <xf numFmtId="3" fontId="0" fillId="2" borderId="3" xfId="0" applyNumberFormat="1" applyFill="1" applyBorder="1" applyAlignment="1">
      <alignment horizontal="right" vertical="center" indent="1"/>
    </xf>
    <xf numFmtId="3" fontId="0" fillId="2" borderId="13" xfId="0" applyNumberFormat="1" applyFill="1" applyBorder="1" applyAlignment="1">
      <alignment horizontal="right" vertical="center" indent="1"/>
    </xf>
    <xf numFmtId="3" fontId="59" fillId="2" borderId="0" xfId="0" applyNumberFormat="1" applyFont="1" applyFill="1" applyAlignment="1" applyProtection="1">
      <alignment horizontal="right" indent="1"/>
    </xf>
    <xf numFmtId="0" fontId="52" fillId="2" borderId="0" xfId="0" quotePrefix="1" applyFont="1" applyFill="1" applyBorder="1" applyAlignment="1" applyProtection="1">
      <alignment vertical="center"/>
    </xf>
    <xf numFmtId="0" fontId="51" fillId="2" borderId="0" xfId="0" applyFont="1" applyFill="1" applyBorder="1" applyAlignment="1" applyProtection="1">
      <alignment vertical="center"/>
    </xf>
    <xf numFmtId="166" fontId="35" fillId="2" borderId="0" xfId="4"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2" fillId="2" borderId="2" xfId="0" applyFont="1" applyFill="1" applyBorder="1" applyAlignment="1" applyProtection="1">
      <alignment horizontal="left" vertical="center"/>
    </xf>
    <xf numFmtId="0" fontId="42" fillId="2" borderId="13" xfId="0" applyFont="1" applyFill="1" applyBorder="1" applyAlignment="1" applyProtection="1">
      <alignment horizontal="left" vertical="center"/>
    </xf>
    <xf numFmtId="0" fontId="42" fillId="2" borderId="3" xfId="0" applyFont="1" applyFill="1" applyBorder="1" applyAlignment="1" applyProtection="1">
      <alignment horizontal="left" vertical="center"/>
    </xf>
    <xf numFmtId="166" fontId="35" fillId="2" borderId="0" xfId="4" applyNumberFormat="1" applyFont="1" applyFill="1" applyBorder="1" applyAlignment="1" applyProtection="1">
      <alignment vertical="center" wrapText="1"/>
    </xf>
    <xf numFmtId="0" fontId="42" fillId="2" borderId="2" xfId="0" applyFont="1" applyFill="1" applyBorder="1" applyAlignment="1" applyProtection="1">
      <alignment vertical="center"/>
    </xf>
    <xf numFmtId="0" fontId="42" fillId="2" borderId="3" xfId="0" applyFont="1" applyFill="1" applyBorder="1" applyAlignment="1" applyProtection="1">
      <alignment vertical="center"/>
    </xf>
    <xf numFmtId="3" fontId="43" fillId="2" borderId="3" xfId="0" applyNumberFormat="1" applyFont="1" applyFill="1" applyBorder="1" applyAlignment="1" applyProtection="1">
      <alignment horizontal="right" vertical="center" indent="2"/>
    </xf>
    <xf numFmtId="0" fontId="44" fillId="4" borderId="2" xfId="0" applyFont="1" applyFill="1" applyBorder="1" applyAlignment="1" applyProtection="1">
      <alignment vertical="center"/>
    </xf>
    <xf numFmtId="0" fontId="44" fillId="4" borderId="3" xfId="0" applyFont="1" applyFill="1" applyBorder="1" applyAlignment="1" applyProtection="1">
      <alignment vertical="center"/>
    </xf>
    <xf numFmtId="3" fontId="48" fillId="4" borderId="1" xfId="0" applyNumberFormat="1" applyFont="1" applyFill="1" applyBorder="1" applyAlignment="1" applyProtection="1">
      <alignment horizontal="right" vertical="center" indent="2"/>
    </xf>
    <xf numFmtId="4" fontId="43" fillId="2" borderId="1" xfId="0" applyNumberFormat="1" applyFont="1" applyFill="1" applyBorder="1" applyAlignment="1" applyProtection="1">
      <alignment horizontal="right" vertical="center" indent="2"/>
    </xf>
    <xf numFmtId="3" fontId="0" fillId="7" borderId="5" xfId="0" applyNumberFormat="1" applyFill="1" applyBorder="1" applyAlignment="1" applyProtection="1">
      <alignment horizontal="right" indent="1"/>
      <protection locked="0"/>
    </xf>
    <xf numFmtId="3" fontId="0" fillId="7" borderId="8" xfId="0" applyNumberFormat="1" applyFill="1" applyBorder="1" applyAlignment="1" applyProtection="1">
      <alignment horizontal="right" indent="1"/>
      <protection locked="0"/>
    </xf>
    <xf numFmtId="0" fontId="39" fillId="10" borderId="7" xfId="10" applyFont="1" applyFill="1" applyBorder="1" applyAlignment="1">
      <alignment horizontal="left" vertical="center" wrapText="1"/>
    </xf>
    <xf numFmtId="0" fontId="39" fillId="10" borderId="8" xfId="10" applyFont="1" applyFill="1" applyBorder="1" applyAlignment="1">
      <alignment horizontal="left" vertical="center" wrapText="1"/>
    </xf>
    <xf numFmtId="0" fontId="39" fillId="10" borderId="9" xfId="10" applyFont="1" applyFill="1" applyBorder="1" applyAlignment="1">
      <alignment horizontal="left" vertical="center" wrapText="1"/>
    </xf>
    <xf numFmtId="0" fontId="36" fillId="2" borderId="0" xfId="10" applyFill="1" applyAlignment="1">
      <alignment horizontal="left" vertical="center"/>
    </xf>
    <xf numFmtId="0" fontId="39" fillId="5" borderId="3" xfId="10" applyFont="1" applyFill="1" applyBorder="1" applyAlignment="1">
      <alignment horizontal="left" vertical="center" wrapText="1"/>
    </xf>
    <xf numFmtId="0" fontId="39" fillId="6" borderId="3" xfId="10" applyFont="1" applyFill="1" applyBorder="1" applyAlignment="1">
      <alignment horizontal="left" vertical="center" wrapText="1"/>
    </xf>
    <xf numFmtId="0" fontId="39" fillId="3" borderId="9" xfId="10" applyFont="1" applyFill="1" applyBorder="1" applyAlignment="1">
      <alignment horizontal="left" vertical="center" wrapText="1"/>
    </xf>
    <xf numFmtId="0" fontId="39" fillId="19" borderId="3" xfId="10" applyFont="1" applyFill="1" applyBorder="1" applyAlignment="1">
      <alignment horizontal="left" vertical="center" wrapText="1"/>
    </xf>
    <xf numFmtId="0" fontId="39" fillId="7" borderId="3" xfId="10" applyFont="1" applyFill="1" applyBorder="1" applyAlignment="1">
      <alignment horizontal="left" vertical="center" wrapText="1"/>
    </xf>
    <xf numFmtId="169" fontId="0" fillId="2" borderId="1" xfId="0" applyNumberFormat="1" applyFill="1" applyBorder="1" applyAlignment="1" applyProtection="1">
      <alignment horizontal="center" vertical="center"/>
    </xf>
    <xf numFmtId="165" fontId="0" fillId="2" borderId="0" xfId="1" applyNumberFormat="1" applyFont="1" applyFill="1" applyBorder="1" applyAlignment="1" applyProtection="1">
      <alignment horizontal="center"/>
    </xf>
    <xf numFmtId="165" fontId="0" fillId="2" borderId="0" xfId="0" applyNumberFormat="1" applyFill="1" applyAlignment="1" applyProtection="1">
      <alignment horizontal="center"/>
    </xf>
    <xf numFmtId="165" fontId="0" fillId="2" borderId="0" xfId="0" applyNumberFormat="1" applyFill="1" applyProtection="1"/>
    <xf numFmtId="165" fontId="0" fillId="2" borderId="0" xfId="1" applyNumberFormat="1" applyFont="1" applyFill="1" applyAlignment="1" applyProtection="1">
      <alignment horizontal="center"/>
    </xf>
    <xf numFmtId="170" fontId="0" fillId="2" borderId="0" xfId="0" applyNumberFormat="1" applyFill="1" applyAlignment="1" applyProtection="1">
      <alignment vertical="center"/>
    </xf>
    <xf numFmtId="165" fontId="43" fillId="2" borderId="3" xfId="1" applyNumberFormat="1" applyFont="1" applyFill="1" applyBorder="1" applyAlignment="1" applyProtection="1">
      <alignment horizontal="right" vertical="center" indent="2"/>
    </xf>
    <xf numFmtId="3" fontId="0" fillId="2" borderId="0" xfId="0" applyNumberFormat="1" applyFill="1" applyBorder="1" applyProtection="1"/>
    <xf numFmtId="3" fontId="0" fillId="8" borderId="26" xfId="0" applyNumberFormat="1" applyFont="1" applyFill="1" applyBorder="1" applyAlignment="1" applyProtection="1">
      <alignment horizontal="center" vertical="center"/>
      <protection locked="0"/>
    </xf>
    <xf numFmtId="0" fontId="45" fillId="2" borderId="0" xfId="0" applyFont="1" applyFill="1" applyBorder="1" applyAlignment="1" applyProtection="1">
      <alignment vertical="center"/>
    </xf>
    <xf numFmtId="0" fontId="41" fillId="2" borderId="0" xfId="10" applyFont="1" applyFill="1" applyBorder="1" applyAlignment="1">
      <alignment horizontal="left" vertical="center"/>
    </xf>
    <xf numFmtId="0" fontId="41" fillId="2" borderId="15" xfId="10" applyFont="1" applyFill="1" applyBorder="1" applyAlignment="1">
      <alignment horizontal="left" vertical="center"/>
    </xf>
    <xf numFmtId="0" fontId="35" fillId="10" borderId="0" xfId="4" applyFont="1" applyFill="1" applyAlignment="1" applyProtection="1">
      <alignment horizontal="left" vertical="center" wrapText="1"/>
    </xf>
    <xf numFmtId="0" fontId="12" fillId="10" borderId="0" xfId="4" applyFill="1" applyAlignment="1" applyProtection="1">
      <alignment horizontal="left" vertical="center"/>
    </xf>
    <xf numFmtId="167" fontId="0" fillId="2" borderId="2" xfId="0" applyNumberFormat="1" applyFont="1" applyFill="1" applyBorder="1" applyAlignment="1" applyProtection="1">
      <alignment horizontal="center" vertical="center"/>
    </xf>
    <xf numFmtId="167" fontId="0" fillId="2" borderId="3" xfId="0" applyNumberFormat="1" applyFont="1" applyFill="1" applyBorder="1" applyAlignment="1" applyProtection="1">
      <alignment horizontal="center" vertical="center"/>
    </xf>
    <xf numFmtId="0" fontId="30" fillId="10" borderId="0" xfId="0" applyFont="1" applyFill="1" applyAlignment="1" applyProtection="1">
      <alignment horizontal="center" vertical="center"/>
    </xf>
    <xf numFmtId="0" fontId="3" fillId="2" borderId="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0" fillId="10" borderId="0" xfId="0" applyFont="1" applyFill="1" applyBorder="1" applyAlignment="1" applyProtection="1">
      <alignment horizontal="center" vertical="center"/>
    </xf>
    <xf numFmtId="0" fontId="0" fillId="2" borderId="2" xfId="0" applyFill="1" applyBorder="1" applyAlignment="1" applyProtection="1">
      <alignment horizontal="left" vertical="center" indent="1"/>
    </xf>
    <xf numFmtId="0" fontId="0" fillId="2" borderId="3" xfId="0" applyFill="1" applyBorder="1" applyAlignment="1" applyProtection="1">
      <alignment horizontal="left" vertical="center" indent="1"/>
    </xf>
    <xf numFmtId="167" fontId="0" fillId="7" borderId="2" xfId="0" applyNumberFormat="1" applyFont="1" applyFill="1" applyBorder="1" applyAlignment="1" applyProtection="1">
      <alignment horizontal="center" vertical="center"/>
    </xf>
    <xf numFmtId="167" fontId="0" fillId="7" borderId="3" xfId="0" applyNumberFormat="1" applyFont="1" applyFill="1" applyBorder="1" applyAlignment="1" applyProtection="1">
      <alignment horizontal="center" vertical="center"/>
    </xf>
    <xf numFmtId="3" fontId="26" fillId="10" borderId="0" xfId="0" applyNumberFormat="1" applyFont="1" applyFill="1" applyBorder="1" applyAlignment="1" applyProtection="1">
      <alignment horizontal="center" vertical="center"/>
    </xf>
    <xf numFmtId="0" fontId="26" fillId="10" borderId="0" xfId="0" applyFont="1" applyFill="1" applyBorder="1" applyAlignment="1" applyProtection="1">
      <alignment horizontal="center" vertical="center"/>
    </xf>
    <xf numFmtId="0" fontId="0" fillId="2" borderId="1" xfId="0" applyFill="1" applyBorder="1" applyAlignment="1" applyProtection="1">
      <alignment horizontal="left" vertical="center" indent="1"/>
    </xf>
    <xf numFmtId="0" fontId="30" fillId="10" borderId="15" xfId="0" applyFont="1" applyFill="1" applyBorder="1" applyAlignment="1" applyProtection="1">
      <alignment horizontal="center" vertical="center"/>
    </xf>
    <xf numFmtId="164" fontId="0" fillId="7" borderId="1" xfId="0" applyNumberFormat="1" applyFill="1" applyBorder="1" applyAlignment="1" applyProtection="1">
      <alignment horizontal="center" vertical="center"/>
    </xf>
    <xf numFmtId="0" fontId="26" fillId="10" borderId="14" xfId="0" applyFont="1" applyFill="1" applyBorder="1" applyAlignment="1" applyProtection="1">
      <alignment horizontal="center" vertical="center"/>
    </xf>
    <xf numFmtId="0" fontId="0" fillId="2" borderId="2" xfId="0" applyFill="1" applyBorder="1" applyAlignment="1" applyProtection="1">
      <alignment horizontal="left" vertical="center" wrapText="1" indent="1"/>
    </xf>
    <xf numFmtId="0" fontId="0" fillId="2" borderId="3" xfId="0" applyFill="1" applyBorder="1" applyAlignment="1" applyProtection="1">
      <alignment horizontal="left" vertical="center" wrapText="1" indent="1"/>
    </xf>
    <xf numFmtId="0" fontId="3" fillId="2" borderId="1" xfId="0"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0" borderId="1" xfId="0" applyFill="1" applyBorder="1" applyAlignment="1" applyProtection="1">
      <alignment horizontal="left" vertical="center" indent="1"/>
    </xf>
    <xf numFmtId="0" fontId="0" fillId="20" borderId="3" xfId="0" applyFill="1" applyBorder="1" applyAlignment="1" applyProtection="1">
      <alignment horizontal="left" vertical="center" indent="1"/>
    </xf>
    <xf numFmtId="0" fontId="0" fillId="2" borderId="10" xfId="0" applyFill="1" applyBorder="1" applyAlignment="1" applyProtection="1">
      <alignment horizontal="left" vertical="center" wrapText="1" indent="1"/>
    </xf>
    <xf numFmtId="0" fontId="0" fillId="2" borderId="7" xfId="0" applyFill="1" applyBorder="1" applyAlignment="1" applyProtection="1">
      <alignment horizontal="left" vertical="center" indent="1"/>
    </xf>
    <xf numFmtId="0" fontId="0" fillId="2" borderId="12" xfId="0" applyFill="1" applyBorder="1" applyAlignment="1" applyProtection="1">
      <alignment horizontal="left" vertical="center" indent="1"/>
    </xf>
    <xf numFmtId="0" fontId="0" fillId="2" borderId="9" xfId="0" applyFill="1" applyBorder="1" applyAlignment="1" applyProtection="1">
      <alignment horizontal="left" vertical="center" indent="1"/>
    </xf>
    <xf numFmtId="4" fontId="0" fillId="7" borderId="4" xfId="0" applyNumberFormat="1" applyFill="1" applyBorder="1" applyAlignment="1" applyProtection="1">
      <alignment horizontal="center" vertical="center"/>
    </xf>
    <xf numFmtId="4" fontId="0" fillId="7" borderId="6" xfId="0" applyNumberFormat="1" applyFill="1" applyBorder="1" applyAlignment="1" applyProtection="1">
      <alignment horizontal="center" vertical="center"/>
    </xf>
    <xf numFmtId="0" fontId="0" fillId="2" borderId="24" xfId="0" applyFont="1" applyFill="1" applyBorder="1" applyAlignment="1" applyProtection="1">
      <alignment horizontal="left" vertical="center" indent="1"/>
    </xf>
    <xf numFmtId="0" fontId="0" fillId="2" borderId="25" xfId="0" applyFont="1" applyFill="1" applyBorder="1" applyAlignment="1" applyProtection="1">
      <alignment horizontal="left" vertical="center" indent="1"/>
    </xf>
    <xf numFmtId="0" fontId="0" fillId="20" borderId="24" xfId="0" applyFont="1" applyFill="1" applyBorder="1" applyAlignment="1" applyProtection="1">
      <alignment horizontal="left" vertical="center" indent="1"/>
    </xf>
    <xf numFmtId="0" fontId="0" fillId="20" borderId="25" xfId="0" applyFont="1" applyFill="1" applyBorder="1" applyAlignment="1" applyProtection="1">
      <alignment horizontal="left" vertical="center" indent="1"/>
    </xf>
    <xf numFmtId="0" fontId="0" fillId="2" borderId="7" xfId="0" applyFill="1" applyBorder="1" applyAlignment="1" applyProtection="1">
      <alignment horizontal="left" vertical="center" wrapText="1" indent="1"/>
    </xf>
    <xf numFmtId="0" fontId="0" fillId="2" borderId="1" xfId="0" applyFont="1" applyFill="1" applyBorder="1" applyAlignment="1" applyProtection="1">
      <alignment horizontal="left" vertical="center" indent="1"/>
    </xf>
    <xf numFmtId="0" fontId="0" fillId="2" borderId="23" xfId="0" applyFont="1" applyFill="1" applyBorder="1" applyAlignment="1" applyProtection="1">
      <alignment horizontal="left" vertical="center" indent="1"/>
    </xf>
    <xf numFmtId="0" fontId="0" fillId="20" borderId="6" xfId="0" applyFont="1" applyFill="1" applyBorder="1" applyAlignment="1" applyProtection="1">
      <alignment horizontal="left" vertical="center" indent="1"/>
    </xf>
    <xf numFmtId="0" fontId="0" fillId="2" borderId="12" xfId="0" applyFill="1" applyBorder="1" applyAlignment="1" applyProtection="1">
      <alignment horizontal="left" vertical="center" wrapText="1" indent="1"/>
    </xf>
    <xf numFmtId="0" fontId="0" fillId="2" borderId="9" xfId="0" applyFill="1" applyBorder="1" applyAlignment="1" applyProtection="1">
      <alignment horizontal="left" vertical="center" wrapText="1" indent="1"/>
    </xf>
    <xf numFmtId="9" fontId="0" fillId="7" borderId="4" xfId="0" applyNumberFormat="1" applyFill="1" applyBorder="1" applyAlignment="1" applyProtection="1">
      <alignment horizontal="center" vertical="center"/>
    </xf>
    <xf numFmtId="9" fontId="0" fillId="7" borderId="6" xfId="0" applyNumberForma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0" fillId="4" borderId="2" xfId="0" applyFill="1" applyBorder="1" applyAlignment="1" applyProtection="1">
      <alignment horizontal="right" vertical="center"/>
    </xf>
    <xf numFmtId="0" fontId="0" fillId="4" borderId="3" xfId="0" applyFill="1" applyBorder="1" applyAlignment="1" applyProtection="1">
      <alignment horizontal="right" vertical="center"/>
    </xf>
    <xf numFmtId="0" fontId="35" fillId="2" borderId="0" xfId="4" applyFont="1" applyFill="1" applyAlignment="1" applyProtection="1">
      <alignment horizontal="center" vertical="center" wrapText="1"/>
    </xf>
    <xf numFmtId="166" fontId="10" fillId="7" borderId="0" xfId="0" applyNumberFormat="1" applyFont="1" applyFill="1" applyAlignment="1" applyProtection="1">
      <alignment horizontal="center" vertical="center" wrapText="1"/>
    </xf>
    <xf numFmtId="0" fontId="3" fillId="14" borderId="4" xfId="0" applyFont="1" applyFill="1" applyBorder="1" applyAlignment="1" applyProtection="1">
      <alignment horizontal="center" vertical="center" wrapText="1"/>
    </xf>
    <xf numFmtId="0" fontId="3" fillId="14" borderId="6" xfId="0" applyFont="1" applyFill="1" applyBorder="1" applyAlignment="1" applyProtection="1">
      <alignment horizontal="center" vertical="center" wrapText="1"/>
    </xf>
    <xf numFmtId="0" fontId="19" fillId="14" borderId="4" xfId="0" applyFont="1" applyFill="1" applyBorder="1" applyAlignment="1" applyProtection="1">
      <alignment horizontal="center" vertical="center" wrapText="1"/>
    </xf>
    <xf numFmtId="0" fontId="19" fillId="14" borderId="6" xfId="0"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0" fontId="3" fillId="15" borderId="6" xfId="0" applyFont="1" applyFill="1" applyBorder="1" applyAlignment="1" applyProtection="1">
      <alignment horizontal="center" vertical="center" wrapText="1"/>
    </xf>
    <xf numFmtId="0" fontId="0" fillId="2" borderId="2" xfId="0" applyFont="1" applyFill="1" applyBorder="1" applyAlignment="1" applyProtection="1">
      <alignment horizontal="right"/>
    </xf>
    <xf numFmtId="0" fontId="0" fillId="2" borderId="3" xfId="0" applyFont="1" applyFill="1" applyBorder="1" applyAlignment="1" applyProtection="1">
      <alignment horizontal="right"/>
    </xf>
    <xf numFmtId="0" fontId="3" fillId="2" borderId="5"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16" borderId="4" xfId="0" applyFont="1" applyFill="1" applyBorder="1" applyAlignment="1" applyProtection="1">
      <alignment horizontal="center" vertical="center" wrapText="1"/>
    </xf>
    <xf numFmtId="0" fontId="3" fillId="16"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xf>
    <xf numFmtId="0" fontId="0" fillId="2" borderId="2" xfId="0" applyFill="1" applyBorder="1" applyAlignment="1" applyProtection="1">
      <alignment horizontal="right"/>
    </xf>
    <xf numFmtId="0" fontId="0" fillId="2" borderId="3" xfId="0" applyFill="1" applyBorder="1" applyAlignment="1" applyProtection="1">
      <alignment horizontal="right"/>
    </xf>
    <xf numFmtId="0" fontId="22" fillId="2" borderId="10"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35" fillId="2" borderId="0" xfId="4" applyFont="1" applyFill="1" applyAlignment="1" applyProtection="1">
      <alignment horizontal="right" vertical="center"/>
    </xf>
    <xf numFmtId="0" fontId="3" fillId="2" borderId="2"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 xfId="0" applyFont="1" applyFill="1" applyBorder="1" applyAlignment="1" applyProtection="1">
      <alignment horizontal="center" vertical="center"/>
    </xf>
    <xf numFmtId="0" fontId="3"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165" fontId="6" fillId="4" borderId="4" xfId="0" applyNumberFormat="1" applyFont="1" applyFill="1" applyBorder="1" applyAlignment="1" applyProtection="1">
      <alignment horizontal="center" vertical="center"/>
    </xf>
    <xf numFmtId="165" fontId="6" fillId="4" borderId="6" xfId="0" applyNumberFormat="1" applyFont="1" applyFill="1" applyBorder="1" applyAlignment="1" applyProtection="1">
      <alignment horizontal="center" vertical="center"/>
    </xf>
    <xf numFmtId="0" fontId="0" fillId="4" borderId="2" xfId="0" applyFill="1" applyBorder="1" applyAlignment="1" applyProtection="1">
      <alignment horizontal="right"/>
    </xf>
    <xf numFmtId="0" fontId="0" fillId="4" borderId="3" xfId="0" applyFill="1" applyBorder="1" applyAlignment="1" applyProtection="1">
      <alignment horizontal="right"/>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9" borderId="4"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21" borderId="4" xfId="0" applyFont="1" applyFill="1" applyBorder="1" applyAlignment="1" applyProtection="1">
      <alignment horizontal="center" vertical="center" wrapText="1"/>
    </xf>
    <xf numFmtId="0" fontId="3" fillId="21" borderId="5" xfId="0" applyFont="1" applyFill="1" applyBorder="1" applyAlignment="1" applyProtection="1">
      <alignment horizontal="center" vertical="center" wrapText="1"/>
    </xf>
    <xf numFmtId="0" fontId="3" fillId="21" borderId="6"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3" fontId="0" fillId="2" borderId="4" xfId="0" applyNumberFormat="1" applyFill="1" applyBorder="1" applyAlignment="1" applyProtection="1">
      <alignment horizontal="center" vertical="center"/>
    </xf>
    <xf numFmtId="3" fontId="0" fillId="2" borderId="6" xfId="0" applyNumberFormat="1" applyFill="1" applyBorder="1" applyAlignment="1" applyProtection="1">
      <alignment horizontal="center" vertical="center"/>
    </xf>
    <xf numFmtId="1" fontId="0" fillId="4" borderId="1" xfId="0" applyNumberFormat="1"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0" fillId="2" borderId="10"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0" fillId="2" borderId="5" xfId="0" applyFill="1" applyBorder="1" applyAlignment="1" applyProtection="1">
      <alignment horizontal="center" vertical="center"/>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0" fillId="4" borderId="2" xfId="1" applyFont="1" applyFill="1" applyBorder="1" applyAlignment="1" applyProtection="1">
      <alignment horizontal="center" vertical="center"/>
    </xf>
    <xf numFmtId="9" fontId="0" fillId="4" borderId="13" xfId="1"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 fillId="19" borderId="7"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9" xfId="0" applyFont="1" applyFill="1" applyBorder="1" applyAlignment="1">
      <alignment horizontal="center" vertical="center" wrapText="1"/>
    </xf>
    <xf numFmtId="3" fontId="0" fillId="4" borderId="4" xfId="0" applyNumberFormat="1" applyFill="1" applyBorder="1" applyAlignment="1" applyProtection="1">
      <alignment horizontal="center" vertical="center" wrapText="1"/>
    </xf>
    <xf numFmtId="3" fontId="0" fillId="4" borderId="6" xfId="0" applyNumberFormat="1" applyFill="1" applyBorder="1" applyAlignment="1" applyProtection="1">
      <alignment horizontal="center" vertical="center" wrapText="1"/>
    </xf>
    <xf numFmtId="165" fontId="3" fillId="4" borderId="4" xfId="1" applyNumberFormat="1" applyFont="1" applyFill="1" applyBorder="1" applyAlignment="1" applyProtection="1">
      <alignment horizontal="center" vertical="center" wrapText="1"/>
    </xf>
    <xf numFmtId="165" fontId="3" fillId="4" borderId="6" xfId="1" applyNumberFormat="1" applyFont="1" applyFill="1" applyBorder="1" applyAlignment="1" applyProtection="1">
      <alignment horizontal="center" vertical="center" wrapText="1"/>
    </xf>
    <xf numFmtId="0" fontId="3" fillId="19" borderId="2" xfId="0" applyFont="1" applyFill="1" applyBorder="1" applyAlignment="1" applyProtection="1">
      <alignment horizontal="center" vertical="center" wrapText="1"/>
    </xf>
    <xf numFmtId="0" fontId="3" fillId="19" borderId="13" xfId="0" applyFont="1" applyFill="1" applyBorder="1" applyAlignment="1" applyProtection="1">
      <alignment horizontal="center" vertical="center" wrapText="1"/>
    </xf>
    <xf numFmtId="0" fontId="3" fillId="19" borderId="3" xfId="0" applyFont="1" applyFill="1" applyBorder="1" applyAlignment="1" applyProtection="1">
      <alignment horizontal="center" vertical="center" wrapText="1"/>
    </xf>
    <xf numFmtId="165" fontId="3" fillId="4" borderId="2" xfId="1" applyNumberFormat="1" applyFont="1" applyFill="1" applyBorder="1" applyAlignment="1" applyProtection="1">
      <alignment horizontal="center" vertical="center" wrapText="1"/>
    </xf>
    <xf numFmtId="165" fontId="3" fillId="4" borderId="3" xfId="1" applyNumberFormat="1" applyFont="1" applyFill="1" applyBorder="1" applyAlignment="1" applyProtection="1">
      <alignment horizontal="center" vertical="center" wrapText="1"/>
    </xf>
    <xf numFmtId="3" fontId="3" fillId="4" borderId="2" xfId="0" applyNumberFormat="1" applyFont="1" applyFill="1" applyBorder="1" applyAlignment="1" applyProtection="1">
      <alignment horizontal="center" vertical="center" wrapText="1"/>
    </xf>
    <xf numFmtId="3" fontId="3" fillId="4" borderId="13" xfId="0" applyNumberFormat="1" applyFont="1" applyFill="1" applyBorder="1" applyAlignment="1" applyProtection="1">
      <alignment horizontal="center" vertical="center" wrapText="1"/>
    </xf>
    <xf numFmtId="3" fontId="3" fillId="4" borderId="3" xfId="0" applyNumberFormat="1" applyFont="1" applyFill="1" applyBorder="1" applyAlignment="1" applyProtection="1">
      <alignment horizontal="center" vertical="center" wrapText="1"/>
    </xf>
    <xf numFmtId="0" fontId="3" fillId="19" borderId="2" xfId="0" applyFont="1" applyFill="1" applyBorder="1" applyAlignment="1">
      <alignment horizontal="center" vertical="center"/>
    </xf>
    <xf numFmtId="0" fontId="3" fillId="19" borderId="13" xfId="0" applyFont="1" applyFill="1" applyBorder="1" applyAlignment="1">
      <alignment horizontal="center" vertical="center"/>
    </xf>
    <xf numFmtId="0" fontId="3" fillId="19" borderId="3" xfId="0" applyFont="1" applyFill="1" applyBorder="1" applyAlignment="1">
      <alignment horizontal="center" vertical="center"/>
    </xf>
    <xf numFmtId="3" fontId="0" fillId="2" borderId="11" xfId="0" applyNumberFormat="1" applyFill="1" applyBorder="1" applyAlignment="1">
      <alignment horizontal="right" vertical="center" indent="1"/>
    </xf>
    <xf numFmtId="3" fontId="0" fillId="2" borderId="0" xfId="0" applyNumberFormat="1" applyFill="1" applyBorder="1" applyAlignment="1">
      <alignment horizontal="right" vertical="center" indent="1"/>
    </xf>
    <xf numFmtId="3" fontId="0" fillId="2" borderId="8" xfId="0" applyNumberFormat="1" applyFill="1" applyBorder="1" applyAlignment="1">
      <alignment horizontal="right" vertical="center" inden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6" borderId="10"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3" fontId="3" fillId="18" borderId="4" xfId="0" applyNumberFormat="1" applyFont="1" applyFill="1" applyBorder="1" applyAlignment="1">
      <alignment horizontal="center" vertical="center" wrapText="1"/>
    </xf>
    <xf numFmtId="3" fontId="3" fillId="18" borderId="5" xfId="0" applyNumberFormat="1" applyFont="1" applyFill="1" applyBorder="1" applyAlignment="1">
      <alignment horizontal="center" vertical="center" wrapText="1"/>
    </xf>
    <xf numFmtId="0" fontId="3" fillId="19" borderId="10" xfId="0" applyFont="1" applyFill="1" applyBorder="1" applyAlignment="1">
      <alignment horizontal="center" vertical="center"/>
    </xf>
    <xf numFmtId="0" fontId="3" fillId="19" borderId="14" xfId="0" applyFont="1" applyFill="1" applyBorder="1" applyAlignment="1">
      <alignment horizontal="center" vertical="center"/>
    </xf>
    <xf numFmtId="0" fontId="3" fillId="19" borderId="12" xfId="0" applyFont="1" applyFill="1" applyBorder="1" applyAlignment="1">
      <alignment horizontal="center" vertical="center"/>
    </xf>
    <xf numFmtId="0" fontId="3" fillId="19" borderId="15"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4"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17" borderId="4" xfId="0" applyFont="1" applyFill="1" applyBorder="1" applyAlignment="1" applyProtection="1">
      <alignment horizontal="center" vertical="center" wrapText="1"/>
    </xf>
    <xf numFmtId="0" fontId="3" fillId="17" borderId="6"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14"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3" fontId="0" fillId="2" borderId="2" xfId="0" applyNumberFormat="1" applyFill="1" applyBorder="1" applyAlignment="1">
      <alignment horizontal="right" vertical="center" indent="1"/>
    </xf>
    <xf numFmtId="3" fontId="0" fillId="2" borderId="13" xfId="0" applyNumberFormat="1" applyFill="1" applyBorder="1" applyAlignment="1">
      <alignment horizontal="right" vertical="center" indent="1"/>
    </xf>
    <xf numFmtId="3" fontId="0" fillId="2" borderId="3" xfId="0" applyNumberFormat="1" applyFill="1" applyBorder="1" applyAlignment="1">
      <alignment horizontal="right" vertical="center" indent="1"/>
    </xf>
    <xf numFmtId="0" fontId="47" fillId="2" borderId="27" xfId="0" applyFont="1" applyFill="1" applyBorder="1" applyAlignment="1" applyProtection="1">
      <alignment horizontal="center" vertical="center"/>
    </xf>
    <xf numFmtId="0" fontId="47" fillId="2" borderId="28"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4" fillId="5" borderId="1" xfId="0" applyFont="1" applyFill="1" applyBorder="1" applyAlignment="1" applyProtection="1">
      <alignment horizontal="left" vertical="center"/>
    </xf>
    <xf numFmtId="0" fontId="44" fillId="6" borderId="4" xfId="0" applyFont="1" applyFill="1" applyBorder="1" applyAlignment="1" applyProtection="1">
      <alignment horizontal="left" vertical="center"/>
    </xf>
    <xf numFmtId="0" fontId="44" fillId="13" borderId="2" xfId="0" applyFont="1" applyFill="1" applyBorder="1" applyAlignment="1" applyProtection="1">
      <alignment horizontal="left" vertical="center"/>
    </xf>
    <xf numFmtId="0" fontId="44" fillId="13" borderId="13" xfId="0" applyFont="1" applyFill="1" applyBorder="1" applyAlignment="1" applyProtection="1">
      <alignment horizontal="left" vertical="center"/>
    </xf>
    <xf numFmtId="0" fontId="44" fillId="17" borderId="1" xfId="0" applyFont="1" applyFill="1" applyBorder="1" applyAlignment="1" applyProtection="1">
      <alignment horizontal="left" vertical="center"/>
    </xf>
    <xf numFmtId="0" fontId="44" fillId="3" borderId="1" xfId="0" applyFont="1" applyFill="1" applyBorder="1" applyAlignment="1" applyProtection="1">
      <alignment horizontal="left" vertical="center"/>
    </xf>
    <xf numFmtId="0" fontId="54" fillId="2" borderId="1"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44" fillId="7" borderId="1" xfId="0" applyFont="1" applyFill="1" applyBorder="1" applyAlignment="1" applyProtection="1">
      <alignment horizontal="left" vertical="center"/>
    </xf>
    <xf numFmtId="0" fontId="44" fillId="8" borderId="2" xfId="0" applyFont="1" applyFill="1" applyBorder="1" applyAlignment="1" applyProtection="1">
      <alignment horizontal="center" vertical="center"/>
      <protection locked="0"/>
    </xf>
    <xf numFmtId="0" fontId="44" fillId="8" borderId="13" xfId="0" applyFont="1" applyFill="1" applyBorder="1" applyAlignment="1" applyProtection="1">
      <alignment horizontal="center" vertical="center"/>
      <protection locked="0"/>
    </xf>
    <xf numFmtId="0" fontId="44" fillId="19" borderId="1" xfId="0" applyFont="1" applyFill="1" applyBorder="1" applyAlignment="1" applyProtection="1">
      <alignment horizontal="left" vertical="center"/>
    </xf>
    <xf numFmtId="0" fontId="53" fillId="2" borderId="2" xfId="0" applyFont="1" applyFill="1" applyBorder="1" applyAlignment="1" applyProtection="1">
      <alignment horizontal="left" vertical="center"/>
    </xf>
    <xf numFmtId="0" fontId="53" fillId="2" borderId="13" xfId="0" applyFont="1" applyFill="1" applyBorder="1" applyAlignment="1" applyProtection="1">
      <alignment horizontal="left" vertical="center"/>
    </xf>
    <xf numFmtId="0" fontId="53" fillId="2" borderId="3"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3" fontId="3" fillId="9" borderId="0" xfId="0" applyNumberFormat="1" applyFont="1" applyFill="1" applyAlignment="1">
      <alignment horizontal="center" vertical="center"/>
    </xf>
    <xf numFmtId="0" fontId="0" fillId="2" borderId="0" xfId="0" applyFill="1" applyAlignment="1">
      <alignment horizontal="center" vertical="center" wrapText="1"/>
    </xf>
    <xf numFmtId="0" fontId="3" fillId="2" borderId="0" xfId="0" applyFont="1" applyFill="1" applyAlignment="1">
      <alignment horizontal="center" vertical="center"/>
    </xf>
    <xf numFmtId="0" fontId="21" fillId="8" borderId="2" xfId="0" applyFont="1" applyFill="1" applyBorder="1" applyAlignment="1" applyProtection="1">
      <alignment horizontal="center" vertical="center"/>
      <protection locked="0"/>
    </xf>
    <xf numFmtId="0" fontId="21" fillId="8" borderId="13"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0" fillId="2" borderId="0" xfId="0" applyFill="1" applyAlignment="1">
      <alignment horizontal="right" vertical="center"/>
    </xf>
    <xf numFmtId="0" fontId="8" fillId="5" borderId="0" xfId="0" applyFont="1" applyFill="1" applyBorder="1" applyAlignment="1">
      <alignment horizontal="center" vertical="center" wrapText="1"/>
    </xf>
    <xf numFmtId="0" fontId="0" fillId="2" borderId="0" xfId="0" applyFill="1" applyAlignment="1">
      <alignment horizontal="right" vertical="center" wrapText="1"/>
    </xf>
    <xf numFmtId="3" fontId="3" fillId="2" borderId="0" xfId="0" applyNumberFormat="1" applyFont="1" applyFill="1" applyAlignment="1">
      <alignment horizontal="center" vertical="center"/>
    </xf>
    <xf numFmtId="166" fontId="0" fillId="2" borderId="0" xfId="0" applyNumberFormat="1" applyFill="1" applyAlignment="1">
      <alignment horizontal="center" vertical="center"/>
    </xf>
    <xf numFmtId="3" fontId="3" fillId="5"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5" fontId="0" fillId="2" borderId="0" xfId="1" applyNumberFormat="1" applyFont="1" applyFill="1" applyAlignment="1">
      <alignment horizontal="center" vertical="center"/>
    </xf>
    <xf numFmtId="3" fontId="0" fillId="2" borderId="0" xfId="1" applyNumberFormat="1" applyFont="1" applyFill="1" applyAlignment="1">
      <alignment horizontal="center" vertical="center"/>
    </xf>
    <xf numFmtId="3" fontId="21" fillId="7" borderId="17" xfId="0" applyNumberFormat="1" applyFont="1" applyFill="1" applyBorder="1" applyAlignment="1">
      <alignment horizontal="center" vertical="center"/>
    </xf>
    <xf numFmtId="3" fontId="21" fillId="7" borderId="18" xfId="0" applyNumberFormat="1" applyFont="1" applyFill="1" applyBorder="1" applyAlignment="1">
      <alignment horizontal="center" vertical="center"/>
    </xf>
    <xf numFmtId="0" fontId="21" fillId="7" borderId="16" xfId="0" applyFont="1" applyFill="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3" fontId="3" fillId="19" borderId="0" xfId="0" applyNumberFormat="1" applyFont="1" applyFill="1" applyAlignment="1">
      <alignment horizontal="center" vertical="center"/>
    </xf>
    <xf numFmtId="0" fontId="14" fillId="2" borderId="0" xfId="0" applyFont="1" applyFill="1" applyBorder="1" applyAlignment="1">
      <alignment horizontal="center" vertical="top"/>
    </xf>
    <xf numFmtId="0" fontId="3" fillId="5" borderId="2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19" xfId="0" applyFont="1" applyFill="1" applyBorder="1" applyAlignment="1">
      <alignment horizontal="center" vertical="center" wrapText="1"/>
    </xf>
    <xf numFmtId="3" fontId="0" fillId="2" borderId="0" xfId="0" applyNumberFormat="1" applyFill="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right" vertical="center"/>
    </xf>
    <xf numFmtId="0" fontId="8" fillId="9" borderId="0" xfId="0" applyFont="1" applyFill="1" applyAlignment="1">
      <alignment horizontal="center" vertical="center" wrapText="1"/>
    </xf>
    <xf numFmtId="2" fontId="29" fillId="2" borderId="0" xfId="0" applyNumberFormat="1" applyFont="1" applyFill="1" applyAlignment="1">
      <alignment horizontal="center" vertical="center"/>
    </xf>
    <xf numFmtId="166" fontId="35" fillId="2" borderId="0" xfId="4" applyNumberFormat="1" applyFont="1" applyFill="1" applyAlignment="1" applyProtection="1">
      <alignment horizontal="center" vertical="center" wrapText="1"/>
    </xf>
    <xf numFmtId="166" fontId="35" fillId="2" borderId="0" xfId="4" applyNumberFormat="1" applyFont="1" applyFill="1" applyBorder="1" applyAlignment="1" applyProtection="1">
      <alignment horizontal="center" vertical="center" wrapText="1"/>
    </xf>
    <xf numFmtId="0" fontId="21" fillId="4" borderId="10"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2" fillId="2" borderId="1" xfId="0" applyFont="1" applyFill="1" applyBorder="1" applyAlignment="1" applyProtection="1">
      <alignment horizontal="left" vertical="center"/>
    </xf>
    <xf numFmtId="0" fontId="44" fillId="7" borderId="4" xfId="0" applyFont="1" applyFill="1" applyBorder="1" applyAlignment="1" applyProtection="1">
      <alignment horizontal="center" vertical="center"/>
    </xf>
    <xf numFmtId="0" fontId="44" fillId="7" borderId="1" xfId="0" applyFont="1" applyFill="1" applyBorder="1" applyAlignment="1" applyProtection="1">
      <alignment horizontal="center" vertical="center"/>
    </xf>
    <xf numFmtId="0" fontId="44" fillId="7" borderId="2" xfId="0" applyFont="1" applyFill="1" applyBorder="1" applyAlignment="1" applyProtection="1">
      <alignment horizontal="center" vertical="center"/>
    </xf>
    <xf numFmtId="0" fontId="44" fillId="7" borderId="13" xfId="0" applyFont="1" applyFill="1" applyBorder="1" applyAlignment="1" applyProtection="1">
      <alignment horizontal="center" vertical="center"/>
    </xf>
    <xf numFmtId="0" fontId="44" fillId="7" borderId="3" xfId="0" applyFont="1" applyFill="1" applyBorder="1" applyAlignment="1" applyProtection="1">
      <alignment horizontal="center" vertical="center"/>
    </xf>
    <xf numFmtId="0" fontId="44" fillId="8" borderId="3" xfId="0" applyFont="1" applyFill="1" applyBorder="1" applyAlignment="1" applyProtection="1">
      <alignment horizontal="center" vertical="center"/>
      <protection locked="0"/>
    </xf>
  </cellXfs>
  <cellStyles count="13">
    <cellStyle name="Lien hypertexte" xfId="4" builtinId="8"/>
    <cellStyle name="Lien hypertexte 2" xfId="11" xr:uid="{58FFBAD7-8318-4B27-93F1-C06EE54D8E71}"/>
    <cellStyle name="Milliers" xfId="12" builtinId="3"/>
    <cellStyle name="Normal" xfId="0" builtinId="0"/>
    <cellStyle name="Normal 10" xfId="10" xr:uid="{C717CFCC-BE29-4284-96FE-953E3BA48CD0}"/>
    <cellStyle name="Normal 2" xfId="2" xr:uid="{E0E40804-91A8-4E15-978E-FDC3679B9565}"/>
    <cellStyle name="Normal 2 2" xfId="7" xr:uid="{D53B2561-2CF8-465C-A94D-5D3C1FDA0B8C}"/>
    <cellStyle name="Normal 3" xfId="5" xr:uid="{120685E3-F313-4CC9-A35A-2159300893ED}"/>
    <cellStyle name="Normal 4" xfId="6" xr:uid="{F1D46053-A75F-4F41-8DD7-ACD00FA1F270}"/>
    <cellStyle name="Normal 5" xfId="8" xr:uid="{A70F14E0-E639-4217-9CB6-E2973B0535AB}"/>
    <cellStyle name="Normal 6" xfId="9" xr:uid="{8A79114E-070E-4D2D-BC11-02EAC961A1A3}"/>
    <cellStyle name="Pourcentage" xfId="1" builtinId="5"/>
    <cellStyle name="Pourcentage 2" xfId="3" xr:uid="{8EFA6447-DE52-4C24-BE2C-F5EF24DF0264}"/>
  </cellStyles>
  <dxfs count="48">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CCFFFF"/>
      <color rgb="FFCCECFF"/>
      <color rgb="FFCCCCFF"/>
      <color rgb="FF99FFCC"/>
      <color rgb="FF66FF99"/>
      <color rgb="FF9A009A"/>
      <color rgb="FFFFE6FF"/>
      <color rgb="FFFFEB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112202</xdr:colOff>
      <xdr:row>0</xdr:row>
      <xdr:rowOff>133350</xdr:rowOff>
    </xdr:from>
    <xdr:to>
      <xdr:col>0</xdr:col>
      <xdr:colOff>571499</xdr:colOff>
      <xdr:row>6</xdr:row>
      <xdr:rowOff>21807</xdr:rowOff>
    </xdr:to>
    <xdr:pic>
      <xdr:nvPicPr>
        <xdr:cNvPr id="2" name="Image 1">
          <a:extLst>
            <a:ext uri="{FF2B5EF4-FFF2-40B4-BE49-F238E27FC236}">
              <a16:creationId xmlns:a16="http://schemas.microsoft.com/office/drawing/2014/main" id="{CF4C279F-9E7C-FB49-3611-BF9F50910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2" y="133350"/>
          <a:ext cx="459297" cy="1479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63499</xdr:colOff>
      <xdr:row>0</xdr:row>
      <xdr:rowOff>64823</xdr:rowOff>
    </xdr:from>
    <xdr:to>
      <xdr:col>0</xdr:col>
      <xdr:colOff>316403</xdr:colOff>
      <xdr:row>3</xdr:row>
      <xdr:rowOff>33073</xdr:rowOff>
    </xdr:to>
    <xdr:pic>
      <xdr:nvPicPr>
        <xdr:cNvPr id="2" name="Image 1">
          <a:extLst>
            <a:ext uri="{FF2B5EF4-FFF2-40B4-BE49-F238E27FC236}">
              <a16:creationId xmlns:a16="http://schemas.microsoft.com/office/drawing/2014/main" id="{9DBDA863-D9E9-48D7-9F6C-11A0751F24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99" y="64823"/>
          <a:ext cx="252904"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7</xdr:row>
      <xdr:rowOff>276225</xdr:rowOff>
    </xdr:from>
    <xdr:to>
      <xdr:col>6</xdr:col>
      <xdr:colOff>647700</xdr:colOff>
      <xdr:row>10</xdr:row>
      <xdr:rowOff>28575</xdr:rowOff>
    </xdr:to>
    <xdr:cxnSp macro="">
      <xdr:nvCxnSpPr>
        <xdr:cNvPr id="3" name="Connecteur droit avec flèche 2">
          <a:extLst>
            <a:ext uri="{FF2B5EF4-FFF2-40B4-BE49-F238E27FC236}">
              <a16:creationId xmlns:a16="http://schemas.microsoft.com/office/drawing/2014/main" id="{A747A2A3-A809-4BE5-88CF-7FCB9DE5A252}"/>
            </a:ext>
          </a:extLst>
        </xdr:cNvPr>
        <xdr:cNvCxnSpPr/>
      </xdr:nvCxnSpPr>
      <xdr:spPr>
        <a:xfrm flipH="1">
          <a:off x="4743450" y="2276475"/>
          <a:ext cx="0" cy="6096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68811</xdr:colOff>
      <xdr:row>0</xdr:row>
      <xdr:rowOff>95250</xdr:rowOff>
    </xdr:from>
    <xdr:to>
      <xdr:col>0</xdr:col>
      <xdr:colOff>321715</xdr:colOff>
      <xdr:row>3</xdr:row>
      <xdr:rowOff>63500</xdr:rowOff>
    </xdr:to>
    <xdr:pic>
      <xdr:nvPicPr>
        <xdr:cNvPr id="2" name="Image 1">
          <a:extLst>
            <a:ext uri="{FF2B5EF4-FFF2-40B4-BE49-F238E27FC236}">
              <a16:creationId xmlns:a16="http://schemas.microsoft.com/office/drawing/2014/main" id="{67509BBE-A041-48F0-8FF8-80FF7AEF05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11" y="95250"/>
          <a:ext cx="252904"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52915</xdr:colOff>
      <xdr:row>0</xdr:row>
      <xdr:rowOff>63500</xdr:rowOff>
    </xdr:from>
    <xdr:to>
      <xdr:col>0</xdr:col>
      <xdr:colOff>305819</xdr:colOff>
      <xdr:row>3</xdr:row>
      <xdr:rowOff>31750</xdr:rowOff>
    </xdr:to>
    <xdr:pic>
      <xdr:nvPicPr>
        <xdr:cNvPr id="2" name="Image 1">
          <a:extLst>
            <a:ext uri="{FF2B5EF4-FFF2-40B4-BE49-F238E27FC236}">
              <a16:creationId xmlns:a16="http://schemas.microsoft.com/office/drawing/2014/main" id="{D857ABE0-8F9B-4C05-87E5-4062661D0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5" y="63500"/>
          <a:ext cx="252904"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CH\Daten_neu\Tabellen_zur_Kontrolle\SfproE\SfproE_nach_Kantonen_mit_Formeln-200911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s003san\GEO_DATA_M\Pfister\Datenauswertung2006ff\Auswertungen10\SfproE10\Berechnungen_10\SfproE_nach_Kantonen_mit_Formeln-20091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nwerte_Release"/>
      <sheetName val="Kantone SfproE 2004-09"/>
      <sheetName val="Kantone SfproE 1992-97"/>
      <sheetName val="Kantone SfproE 1979-85"/>
      <sheetName val="Differenzen"/>
      <sheetName val="SiedProEinw09_Kt_091110"/>
      <sheetName val="Perimeter"/>
      <sheetName val="NOAS04-Siedlung-d"/>
      <sheetName val="NOAS04-habitat-f"/>
    </sheetNames>
    <sheetDataSet>
      <sheetData sheetId="0" refreshError="1"/>
      <sheetData sheetId="1">
        <row r="22">
          <cell r="A22">
            <v>1</v>
          </cell>
          <cell r="B22" t="str">
            <v>Zürich</v>
          </cell>
          <cell r="C22" t="str">
            <v>...</v>
          </cell>
          <cell r="D22" t="str">
            <v>...</v>
          </cell>
          <cell r="E22" t="str">
            <v>...</v>
          </cell>
          <cell r="F22" t="str">
            <v>...</v>
          </cell>
          <cell r="G22" t="str">
            <v>...</v>
          </cell>
          <cell r="H22" t="str">
            <v>...</v>
          </cell>
          <cell r="I22" t="str">
            <v>...</v>
          </cell>
          <cell r="J22" t="str">
            <v>...</v>
          </cell>
          <cell r="L22" t="str">
            <v>...</v>
          </cell>
          <cell r="M22"/>
        </row>
        <row r="23">
          <cell r="A23">
            <v>2</v>
          </cell>
          <cell r="B23" t="str">
            <v>Bern</v>
          </cell>
          <cell r="C23" t="str">
            <v>2004/07</v>
          </cell>
          <cell r="D23">
            <v>427.92</v>
          </cell>
          <cell r="E23">
            <v>30.57</v>
          </cell>
          <cell r="F23">
            <v>216.53</v>
          </cell>
          <cell r="G23">
            <v>137.81</v>
          </cell>
          <cell r="H23">
            <v>18.95</v>
          </cell>
          <cell r="I23">
            <v>24.06</v>
          </cell>
          <cell r="J23">
            <v>962755</v>
          </cell>
          <cell r="L23">
            <v>427.91999999999996</v>
          </cell>
          <cell r="M23">
            <v>-5.6843418860808015E-14</v>
          </cell>
        </row>
        <row r="24">
          <cell r="A24">
            <v>3</v>
          </cell>
          <cell r="B24" t="str">
            <v>Luzern</v>
          </cell>
          <cell r="C24" t="str">
            <v>2006/07</v>
          </cell>
          <cell r="D24">
            <v>398.67</v>
          </cell>
          <cell r="E24">
            <v>37.03</v>
          </cell>
          <cell r="F24">
            <v>198.74</v>
          </cell>
          <cell r="G24">
            <v>117.2</v>
          </cell>
          <cell r="H24">
            <v>22.5</v>
          </cell>
          <cell r="I24">
            <v>23.2</v>
          </cell>
          <cell r="J24">
            <v>360824</v>
          </cell>
          <cell r="L24">
            <v>398.67</v>
          </cell>
          <cell r="M24">
            <v>0</v>
          </cell>
        </row>
        <row r="25">
          <cell r="A25">
            <v>4</v>
          </cell>
          <cell r="B25" t="str">
            <v>Uri</v>
          </cell>
          <cell r="C25" t="str">
            <v>...</v>
          </cell>
          <cell r="D25" t="str">
            <v>...</v>
          </cell>
          <cell r="E25" t="str">
            <v>...</v>
          </cell>
          <cell r="F25" t="str">
            <v>...</v>
          </cell>
          <cell r="G25" t="str">
            <v>...</v>
          </cell>
          <cell r="H25" t="str">
            <v>...</v>
          </cell>
          <cell r="I25" t="str">
            <v>...</v>
          </cell>
          <cell r="J25" t="str">
            <v>...</v>
          </cell>
          <cell r="L25" t="str">
            <v>...</v>
          </cell>
          <cell r="M25"/>
        </row>
        <row r="26">
          <cell r="A26">
            <v>5</v>
          </cell>
          <cell r="B26" t="str">
            <v>Schwyz</v>
          </cell>
          <cell r="C26" t="str">
            <v>...</v>
          </cell>
          <cell r="D26" t="str">
            <v>...</v>
          </cell>
          <cell r="E26" t="str">
            <v>...</v>
          </cell>
          <cell r="F26" t="str">
            <v>...</v>
          </cell>
          <cell r="G26" t="str">
            <v>...</v>
          </cell>
          <cell r="H26" t="str">
            <v>...</v>
          </cell>
          <cell r="I26" t="str">
            <v>...</v>
          </cell>
          <cell r="J26" t="str">
            <v>...</v>
          </cell>
          <cell r="L26" t="str">
            <v>...</v>
          </cell>
          <cell r="M26"/>
        </row>
        <row r="27">
          <cell r="A27">
            <v>6</v>
          </cell>
          <cell r="B27" t="str">
            <v>Obwalden</v>
          </cell>
          <cell r="C27" t="str">
            <v>2006/07</v>
          </cell>
          <cell r="D27">
            <v>556.89</v>
          </cell>
          <cell r="E27">
            <v>32.01</v>
          </cell>
          <cell r="F27">
            <v>258.74</v>
          </cell>
          <cell r="G27">
            <v>196.2</v>
          </cell>
          <cell r="H27">
            <v>38.53</v>
          </cell>
          <cell r="I27">
            <v>31.42</v>
          </cell>
          <cell r="J27">
            <v>33741</v>
          </cell>
          <cell r="L27">
            <v>556.9</v>
          </cell>
          <cell r="M27">
            <v>9.9999999999909051E-3</v>
          </cell>
        </row>
        <row r="28">
          <cell r="A28">
            <v>7</v>
          </cell>
          <cell r="B28" t="str">
            <v>Nidwalden</v>
          </cell>
          <cell r="C28">
            <v>2007</v>
          </cell>
          <cell r="D28">
            <v>374.56</v>
          </cell>
          <cell r="E28">
            <v>29.32</v>
          </cell>
          <cell r="F28">
            <v>185.51</v>
          </cell>
          <cell r="G28">
            <v>119.55</v>
          </cell>
          <cell r="H28">
            <v>23.25</v>
          </cell>
          <cell r="I28">
            <v>16.93</v>
          </cell>
          <cell r="J28">
            <v>39566</v>
          </cell>
          <cell r="L28">
            <v>374.56</v>
          </cell>
          <cell r="M28">
            <v>0</v>
          </cell>
        </row>
        <row r="29">
          <cell r="A29">
            <v>8</v>
          </cell>
          <cell r="B29" t="str">
            <v>Glarus</v>
          </cell>
          <cell r="C29" t="str">
            <v>...</v>
          </cell>
          <cell r="D29" t="str">
            <v>...</v>
          </cell>
          <cell r="E29" t="str">
            <v>...</v>
          </cell>
          <cell r="F29" t="str">
            <v>...</v>
          </cell>
          <cell r="G29" t="str">
            <v>...</v>
          </cell>
          <cell r="H29" t="str">
            <v>...</v>
          </cell>
          <cell r="I29" t="str">
            <v>...</v>
          </cell>
          <cell r="J29" t="str">
            <v>...</v>
          </cell>
          <cell r="L29" t="str">
            <v>...</v>
          </cell>
          <cell r="M29"/>
        </row>
        <row r="30">
          <cell r="A30">
            <v>9</v>
          </cell>
          <cell r="B30" t="str">
            <v>Zug</v>
          </cell>
          <cell r="C30" t="str">
            <v>...</v>
          </cell>
          <cell r="D30" t="str">
            <v>...</v>
          </cell>
          <cell r="E30" t="str">
            <v>...</v>
          </cell>
          <cell r="F30" t="str">
            <v>...</v>
          </cell>
          <cell r="G30" t="str">
            <v>...</v>
          </cell>
          <cell r="H30" t="str">
            <v>...</v>
          </cell>
          <cell r="I30" t="str">
            <v>...</v>
          </cell>
          <cell r="J30" t="str">
            <v>...</v>
          </cell>
          <cell r="L30" t="str">
            <v>...</v>
          </cell>
          <cell r="M30"/>
        </row>
        <row r="31">
          <cell r="A31">
            <v>10</v>
          </cell>
          <cell r="B31" t="str">
            <v>Fribourg</v>
          </cell>
          <cell r="C31" t="str">
            <v>2004/05</v>
          </cell>
          <cell r="D31">
            <v>555.5</v>
          </cell>
          <cell r="E31">
            <v>35.880000000000003</v>
          </cell>
          <cell r="F31">
            <v>278.17</v>
          </cell>
          <cell r="G31">
            <v>180.64</v>
          </cell>
          <cell r="H31">
            <v>31.08</v>
          </cell>
          <cell r="I31">
            <v>29.73</v>
          </cell>
          <cell r="J31">
            <v>251936</v>
          </cell>
          <cell r="L31">
            <v>555.5</v>
          </cell>
          <cell r="M31">
            <v>0</v>
          </cell>
        </row>
        <row r="32">
          <cell r="A32">
            <v>11</v>
          </cell>
          <cell r="B32" t="str">
            <v>Solothurn</v>
          </cell>
          <cell r="C32" t="str">
            <v>2005/06</v>
          </cell>
          <cell r="D32">
            <v>443.16</v>
          </cell>
          <cell r="E32">
            <v>44.7</v>
          </cell>
          <cell r="F32">
            <v>224.96</v>
          </cell>
          <cell r="G32">
            <v>123.42</v>
          </cell>
          <cell r="H32">
            <v>23.91</v>
          </cell>
          <cell r="I32">
            <v>26.17</v>
          </cell>
          <cell r="J32">
            <v>247200</v>
          </cell>
          <cell r="L32">
            <v>443.16000000000008</v>
          </cell>
          <cell r="M32">
            <v>5.6843418860808015E-14</v>
          </cell>
        </row>
        <row r="33">
          <cell r="A33">
            <v>12</v>
          </cell>
          <cell r="B33" t="str">
            <v>Basel-Stadt</v>
          </cell>
          <cell r="C33">
            <v>2005</v>
          </cell>
          <cell r="D33">
            <v>137.93</v>
          </cell>
          <cell r="E33">
            <v>12.91</v>
          </cell>
          <cell r="F33">
            <v>68.75</v>
          </cell>
          <cell r="G33">
            <v>34.69</v>
          </cell>
          <cell r="H33">
            <v>3.73</v>
          </cell>
          <cell r="I33">
            <v>17.84</v>
          </cell>
          <cell r="J33">
            <v>190536</v>
          </cell>
          <cell r="L33">
            <v>137.91999999999999</v>
          </cell>
          <cell r="M33">
            <v>-1.0000000000019327E-2</v>
          </cell>
        </row>
        <row r="34">
          <cell r="A34">
            <v>13</v>
          </cell>
          <cell r="B34" t="str">
            <v>Basel-Landschaft</v>
          </cell>
          <cell r="C34" t="str">
            <v>2005/06</v>
          </cell>
          <cell r="D34">
            <v>340.42</v>
          </cell>
          <cell r="E34">
            <v>36.78</v>
          </cell>
          <cell r="F34">
            <v>173.72</v>
          </cell>
          <cell r="G34">
            <v>90.88</v>
          </cell>
          <cell r="H34">
            <v>15.39</v>
          </cell>
          <cell r="I34">
            <v>23.65</v>
          </cell>
          <cell r="J34">
            <v>265083</v>
          </cell>
          <cell r="L34">
            <v>340.41999999999996</v>
          </cell>
          <cell r="M34">
            <v>-5.6843418860808015E-14</v>
          </cell>
        </row>
        <row r="35">
          <cell r="A35">
            <v>14</v>
          </cell>
          <cell r="B35" t="str">
            <v>Schaffhausen</v>
          </cell>
          <cell r="C35" t="str">
            <v>...</v>
          </cell>
          <cell r="D35" t="str">
            <v>...</v>
          </cell>
          <cell r="E35" t="str">
            <v>...</v>
          </cell>
          <cell r="F35" t="str">
            <v>...</v>
          </cell>
          <cell r="G35" t="str">
            <v>...</v>
          </cell>
          <cell r="H35" t="str">
            <v>...</v>
          </cell>
          <cell r="I35" t="str">
            <v>...</v>
          </cell>
          <cell r="J35" t="str">
            <v>...</v>
          </cell>
          <cell r="L35" t="str">
            <v>...</v>
          </cell>
          <cell r="M35"/>
        </row>
        <row r="36">
          <cell r="A36">
            <v>15</v>
          </cell>
          <cell r="B36" t="str">
            <v>Appenzell Ausserrhoden</v>
          </cell>
          <cell r="C36" t="str">
            <v>...</v>
          </cell>
          <cell r="D36" t="str">
            <v>...</v>
          </cell>
          <cell r="E36" t="str">
            <v>...</v>
          </cell>
          <cell r="F36" t="str">
            <v>...</v>
          </cell>
          <cell r="G36" t="str">
            <v>...</v>
          </cell>
          <cell r="H36" t="str">
            <v>...</v>
          </cell>
          <cell r="I36" t="str">
            <v>...</v>
          </cell>
          <cell r="J36" t="str">
            <v>...</v>
          </cell>
          <cell r="L36" t="str">
            <v>...</v>
          </cell>
          <cell r="M36"/>
        </row>
        <row r="37">
          <cell r="A37">
            <v>16</v>
          </cell>
          <cell r="B37" t="str">
            <v>Appenzell Innerrhoden</v>
          </cell>
          <cell r="C37" t="str">
            <v>...</v>
          </cell>
          <cell r="D37" t="str">
            <v>...</v>
          </cell>
          <cell r="E37" t="str">
            <v>...</v>
          </cell>
          <cell r="F37" t="str">
            <v>...</v>
          </cell>
          <cell r="G37" t="str">
            <v>...</v>
          </cell>
          <cell r="H37" t="str">
            <v>...</v>
          </cell>
          <cell r="I37" t="str">
            <v>...</v>
          </cell>
          <cell r="J37" t="str">
            <v>...</v>
          </cell>
          <cell r="L37" t="str">
            <v>...</v>
          </cell>
          <cell r="M37"/>
        </row>
        <row r="38">
          <cell r="A38">
            <v>17</v>
          </cell>
          <cell r="B38" t="str">
            <v>St. Gallen</v>
          </cell>
          <cell r="C38" t="str">
            <v>...</v>
          </cell>
          <cell r="D38" t="str">
            <v>...</v>
          </cell>
          <cell r="E38" t="str">
            <v>...</v>
          </cell>
          <cell r="F38" t="str">
            <v>...</v>
          </cell>
          <cell r="G38" t="str">
            <v>...</v>
          </cell>
          <cell r="H38" t="str">
            <v>...</v>
          </cell>
          <cell r="I38" t="str">
            <v>...</v>
          </cell>
          <cell r="J38" t="str">
            <v>...</v>
          </cell>
          <cell r="L38" t="str">
            <v>...</v>
          </cell>
          <cell r="M38"/>
        </row>
        <row r="39">
          <cell r="A39">
            <v>18</v>
          </cell>
          <cell r="B39" t="str">
            <v>Graubünden</v>
          </cell>
          <cell r="C39" t="str">
            <v>...</v>
          </cell>
          <cell r="D39" t="str">
            <v>...</v>
          </cell>
          <cell r="E39" t="str">
            <v>...</v>
          </cell>
          <cell r="F39" t="str">
            <v>...</v>
          </cell>
          <cell r="G39" t="str">
            <v>...</v>
          </cell>
          <cell r="H39" t="str">
            <v>...</v>
          </cell>
          <cell r="I39" t="str">
            <v>...</v>
          </cell>
          <cell r="J39" t="str">
            <v>...</v>
          </cell>
          <cell r="L39" t="str">
            <v>...</v>
          </cell>
          <cell r="M39"/>
        </row>
        <row r="40">
          <cell r="A40">
            <v>19</v>
          </cell>
          <cell r="B40" t="str">
            <v>Aargau</v>
          </cell>
          <cell r="C40" t="str">
            <v>2006/07</v>
          </cell>
          <cell r="D40">
            <v>413.82</v>
          </cell>
          <cell r="E40">
            <v>42.07</v>
          </cell>
          <cell r="F40">
            <v>208.93</v>
          </cell>
          <cell r="G40">
            <v>117.37</v>
          </cell>
          <cell r="H40">
            <v>25.55</v>
          </cell>
          <cell r="I40">
            <v>19.899999999999999</v>
          </cell>
          <cell r="J40">
            <v>576457</v>
          </cell>
          <cell r="L40">
            <v>413.82</v>
          </cell>
          <cell r="M40">
            <v>0</v>
          </cell>
        </row>
        <row r="41">
          <cell r="A41">
            <v>20</v>
          </cell>
          <cell r="B41" t="str">
            <v>Thurgau</v>
          </cell>
          <cell r="C41" t="str">
            <v>...</v>
          </cell>
          <cell r="D41" t="str">
            <v>...</v>
          </cell>
          <cell r="E41" t="str">
            <v>...</v>
          </cell>
          <cell r="F41" t="str">
            <v>...</v>
          </cell>
          <cell r="G41" t="str">
            <v>...</v>
          </cell>
          <cell r="H41" t="str">
            <v>...</v>
          </cell>
          <cell r="I41" t="str">
            <v>...</v>
          </cell>
          <cell r="J41" t="str">
            <v>...</v>
          </cell>
          <cell r="L41" t="str">
            <v>...</v>
          </cell>
          <cell r="M41"/>
        </row>
        <row r="42">
          <cell r="A42">
            <v>21</v>
          </cell>
          <cell r="B42" t="str">
            <v>Ticino</v>
          </cell>
          <cell r="C42" t="str">
            <v>...</v>
          </cell>
          <cell r="D42" t="str">
            <v>...</v>
          </cell>
          <cell r="E42" t="str">
            <v>...</v>
          </cell>
          <cell r="F42" t="str">
            <v>...</v>
          </cell>
          <cell r="G42" t="str">
            <v>...</v>
          </cell>
          <cell r="H42" t="str">
            <v>...</v>
          </cell>
          <cell r="I42" t="str">
            <v>...</v>
          </cell>
          <cell r="J42" t="str">
            <v>...</v>
          </cell>
          <cell r="L42" t="str">
            <v>...</v>
          </cell>
          <cell r="M42"/>
        </row>
        <row r="43">
          <cell r="A43">
            <v>22</v>
          </cell>
          <cell r="B43" t="str">
            <v>Vaud</v>
          </cell>
          <cell r="C43" t="str">
            <v>2004/05</v>
          </cell>
          <cell r="D43">
            <v>454.97</v>
          </cell>
          <cell r="E43">
            <v>28.08</v>
          </cell>
          <cell r="F43">
            <v>218.5</v>
          </cell>
          <cell r="G43">
            <v>153.69</v>
          </cell>
          <cell r="H43">
            <v>21.99</v>
          </cell>
          <cell r="I43">
            <v>32.71</v>
          </cell>
          <cell r="J43">
            <v>658127</v>
          </cell>
          <cell r="L43">
            <v>454.96999999999997</v>
          </cell>
          <cell r="M43">
            <v>-5.6843418860808015E-14</v>
          </cell>
        </row>
        <row r="44">
          <cell r="A44">
            <v>23</v>
          </cell>
          <cell r="B44" t="str">
            <v>Valais</v>
          </cell>
          <cell r="C44" t="str">
            <v>...</v>
          </cell>
          <cell r="D44" t="str">
            <v>...</v>
          </cell>
          <cell r="E44" t="str">
            <v>...</v>
          </cell>
          <cell r="F44" t="str">
            <v>...</v>
          </cell>
          <cell r="G44" t="str">
            <v>...</v>
          </cell>
          <cell r="H44" t="str">
            <v>...</v>
          </cell>
          <cell r="I44" t="str">
            <v>...</v>
          </cell>
          <cell r="J44" t="str">
            <v>...</v>
          </cell>
          <cell r="L44" t="str">
            <v>...</v>
          </cell>
          <cell r="M44"/>
        </row>
        <row r="45">
          <cell r="A45">
            <v>24</v>
          </cell>
          <cell r="B45" t="str">
            <v>Neuchâtel</v>
          </cell>
          <cell r="C45" t="str">
            <v>2004/05</v>
          </cell>
          <cell r="D45">
            <v>397.33</v>
          </cell>
          <cell r="E45">
            <v>32.549999999999997</v>
          </cell>
          <cell r="F45">
            <v>188.32</v>
          </cell>
          <cell r="G45">
            <v>124.4</v>
          </cell>
          <cell r="H45">
            <v>22.59</v>
          </cell>
          <cell r="I45">
            <v>29.47</v>
          </cell>
          <cell r="J45">
            <v>168649</v>
          </cell>
          <cell r="L45">
            <v>397.32999999999993</v>
          </cell>
          <cell r="M45">
            <v>-5.6843418860808015E-14</v>
          </cell>
        </row>
        <row r="46">
          <cell r="A46">
            <v>25</v>
          </cell>
          <cell r="B46" t="str">
            <v>Genève</v>
          </cell>
          <cell r="C46">
            <v>2004</v>
          </cell>
          <cell r="D46">
            <v>217.82</v>
          </cell>
          <cell r="E46">
            <v>14.25</v>
          </cell>
          <cell r="F46">
            <v>119.36</v>
          </cell>
          <cell r="G46">
            <v>55.46</v>
          </cell>
          <cell r="H46">
            <v>9.1199999999999992</v>
          </cell>
          <cell r="I46">
            <v>19.64</v>
          </cell>
          <cell r="J46">
            <v>432235</v>
          </cell>
          <cell r="L46">
            <v>217.83000000000004</v>
          </cell>
          <cell r="M46">
            <v>1.0000000000047748E-2</v>
          </cell>
        </row>
        <row r="47">
          <cell r="A47">
            <v>26</v>
          </cell>
          <cell r="B47" t="str">
            <v>Jura</v>
          </cell>
          <cell r="C47">
            <v>2005</v>
          </cell>
          <cell r="D47">
            <v>826.98</v>
          </cell>
          <cell r="E47">
            <v>52.73</v>
          </cell>
          <cell r="F47">
            <v>382.04</v>
          </cell>
          <cell r="G47">
            <v>289.99</v>
          </cell>
          <cell r="H47">
            <v>65.540000000000006</v>
          </cell>
          <cell r="I47">
            <v>36.67</v>
          </cell>
          <cell r="J47">
            <v>67898</v>
          </cell>
          <cell r="L47">
            <v>826.96999999999991</v>
          </cell>
          <cell r="M47">
            <v>-1.0000000000104592E-2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nwerte_Release"/>
      <sheetName val="Kantone SfproE 2004-09"/>
      <sheetName val="Kantone SfproE 1992-97"/>
      <sheetName val="Kantone SfproE 1979-85"/>
      <sheetName val="Differenzen"/>
      <sheetName val="SiedProEinw09_Kt_091110"/>
      <sheetName val="Perimeter"/>
      <sheetName val="NOAS04-Siedlung-d"/>
      <sheetName val="NOAS04-habitat-f"/>
    </sheetNames>
    <sheetDataSet>
      <sheetData sheetId="0" refreshError="1"/>
      <sheetData sheetId="1">
        <row r="22">
          <cell r="A22">
            <v>1</v>
          </cell>
          <cell r="B22" t="str">
            <v>Zürich</v>
          </cell>
          <cell r="C22" t="str">
            <v>...</v>
          </cell>
          <cell r="D22" t="str">
            <v>...</v>
          </cell>
          <cell r="E22" t="str">
            <v>...</v>
          </cell>
          <cell r="F22" t="str">
            <v>...</v>
          </cell>
          <cell r="G22" t="str">
            <v>...</v>
          </cell>
          <cell r="H22" t="str">
            <v>...</v>
          </cell>
          <cell r="I22" t="str">
            <v>...</v>
          </cell>
          <cell r="J22" t="str">
            <v>...</v>
          </cell>
          <cell r="L22" t="str">
            <v>...</v>
          </cell>
          <cell r="M22"/>
        </row>
        <row r="23">
          <cell r="A23">
            <v>2</v>
          </cell>
          <cell r="B23" t="str">
            <v>Bern</v>
          </cell>
          <cell r="C23" t="str">
            <v>2004/07</v>
          </cell>
          <cell r="D23">
            <v>427.92</v>
          </cell>
          <cell r="E23">
            <v>30.57</v>
          </cell>
          <cell r="F23">
            <v>216.53</v>
          </cell>
          <cell r="G23">
            <v>137.81</v>
          </cell>
          <cell r="H23">
            <v>18.95</v>
          </cell>
          <cell r="I23">
            <v>24.06</v>
          </cell>
          <cell r="J23">
            <v>962755</v>
          </cell>
          <cell r="L23">
            <v>427.91999999999996</v>
          </cell>
          <cell r="M23">
            <v>-5.6843418860808015E-14</v>
          </cell>
        </row>
        <row r="24">
          <cell r="A24">
            <v>3</v>
          </cell>
          <cell r="B24" t="str">
            <v>Luzern</v>
          </cell>
          <cell r="C24" t="str">
            <v>2006/07</v>
          </cell>
          <cell r="D24">
            <v>398.67</v>
          </cell>
          <cell r="E24">
            <v>37.03</v>
          </cell>
          <cell r="F24">
            <v>198.74</v>
          </cell>
          <cell r="G24">
            <v>117.2</v>
          </cell>
          <cell r="H24">
            <v>22.5</v>
          </cell>
          <cell r="I24">
            <v>23.2</v>
          </cell>
          <cell r="J24">
            <v>360824</v>
          </cell>
          <cell r="L24">
            <v>398.67</v>
          </cell>
          <cell r="M24">
            <v>0</v>
          </cell>
        </row>
        <row r="25">
          <cell r="A25">
            <v>4</v>
          </cell>
          <cell r="B25" t="str">
            <v>Uri</v>
          </cell>
          <cell r="C25" t="str">
            <v>...</v>
          </cell>
          <cell r="D25" t="str">
            <v>...</v>
          </cell>
          <cell r="E25" t="str">
            <v>...</v>
          </cell>
          <cell r="F25" t="str">
            <v>...</v>
          </cell>
          <cell r="G25" t="str">
            <v>...</v>
          </cell>
          <cell r="H25" t="str">
            <v>...</v>
          </cell>
          <cell r="I25" t="str">
            <v>...</v>
          </cell>
          <cell r="J25" t="str">
            <v>...</v>
          </cell>
          <cell r="L25" t="str">
            <v>...</v>
          </cell>
          <cell r="M25"/>
        </row>
        <row r="26">
          <cell r="A26">
            <v>5</v>
          </cell>
          <cell r="B26" t="str">
            <v>Schwyz</v>
          </cell>
          <cell r="C26" t="str">
            <v>...</v>
          </cell>
          <cell r="D26" t="str">
            <v>...</v>
          </cell>
          <cell r="E26" t="str">
            <v>...</v>
          </cell>
          <cell r="F26" t="str">
            <v>...</v>
          </cell>
          <cell r="G26" t="str">
            <v>...</v>
          </cell>
          <cell r="H26" t="str">
            <v>...</v>
          </cell>
          <cell r="I26" t="str">
            <v>...</v>
          </cell>
          <cell r="J26" t="str">
            <v>...</v>
          </cell>
          <cell r="L26" t="str">
            <v>...</v>
          </cell>
          <cell r="M26"/>
        </row>
        <row r="27">
          <cell r="A27">
            <v>6</v>
          </cell>
          <cell r="B27" t="str">
            <v>Obwalden</v>
          </cell>
          <cell r="C27" t="str">
            <v>2006/07</v>
          </cell>
          <cell r="D27">
            <v>556.89</v>
          </cell>
          <cell r="E27">
            <v>32.01</v>
          </cell>
          <cell r="F27">
            <v>258.74</v>
          </cell>
          <cell r="G27">
            <v>196.2</v>
          </cell>
          <cell r="H27">
            <v>38.53</v>
          </cell>
          <cell r="I27">
            <v>31.42</v>
          </cell>
          <cell r="J27">
            <v>33741</v>
          </cell>
          <cell r="L27">
            <v>556.9</v>
          </cell>
          <cell r="M27">
            <v>9.9999999999909051E-3</v>
          </cell>
        </row>
        <row r="28">
          <cell r="A28">
            <v>7</v>
          </cell>
          <cell r="B28" t="str">
            <v>Nidwalden</v>
          </cell>
          <cell r="C28">
            <v>2007</v>
          </cell>
          <cell r="D28">
            <v>374.56</v>
          </cell>
          <cell r="E28">
            <v>29.32</v>
          </cell>
          <cell r="F28">
            <v>185.51</v>
          </cell>
          <cell r="G28">
            <v>119.55</v>
          </cell>
          <cell r="H28">
            <v>23.25</v>
          </cell>
          <cell r="I28">
            <v>16.93</v>
          </cell>
          <cell r="J28">
            <v>39566</v>
          </cell>
          <cell r="L28">
            <v>374.56</v>
          </cell>
          <cell r="M28">
            <v>0</v>
          </cell>
        </row>
        <row r="29">
          <cell r="A29">
            <v>8</v>
          </cell>
          <cell r="B29" t="str">
            <v>Glarus</v>
          </cell>
          <cell r="C29" t="str">
            <v>...</v>
          </cell>
          <cell r="D29" t="str">
            <v>...</v>
          </cell>
          <cell r="E29" t="str">
            <v>...</v>
          </cell>
          <cell r="F29" t="str">
            <v>...</v>
          </cell>
          <cell r="G29" t="str">
            <v>...</v>
          </cell>
          <cell r="H29" t="str">
            <v>...</v>
          </cell>
          <cell r="I29" t="str">
            <v>...</v>
          </cell>
          <cell r="J29" t="str">
            <v>...</v>
          </cell>
          <cell r="L29" t="str">
            <v>...</v>
          </cell>
          <cell r="M29"/>
        </row>
        <row r="30">
          <cell r="A30">
            <v>9</v>
          </cell>
          <cell r="B30" t="str">
            <v>Zug</v>
          </cell>
          <cell r="C30" t="str">
            <v>...</v>
          </cell>
          <cell r="D30" t="str">
            <v>...</v>
          </cell>
          <cell r="E30" t="str">
            <v>...</v>
          </cell>
          <cell r="F30" t="str">
            <v>...</v>
          </cell>
          <cell r="G30" t="str">
            <v>...</v>
          </cell>
          <cell r="H30" t="str">
            <v>...</v>
          </cell>
          <cell r="I30" t="str">
            <v>...</v>
          </cell>
          <cell r="J30" t="str">
            <v>...</v>
          </cell>
          <cell r="L30" t="str">
            <v>...</v>
          </cell>
          <cell r="M30"/>
        </row>
        <row r="31">
          <cell r="A31">
            <v>10</v>
          </cell>
          <cell r="B31" t="str">
            <v>Fribourg</v>
          </cell>
          <cell r="C31" t="str">
            <v>2004/05</v>
          </cell>
          <cell r="D31">
            <v>555.5</v>
          </cell>
          <cell r="E31">
            <v>35.880000000000003</v>
          </cell>
          <cell r="F31">
            <v>278.17</v>
          </cell>
          <cell r="G31">
            <v>180.64</v>
          </cell>
          <cell r="H31">
            <v>31.08</v>
          </cell>
          <cell r="I31">
            <v>29.73</v>
          </cell>
          <cell r="J31">
            <v>251936</v>
          </cell>
          <cell r="L31">
            <v>555.5</v>
          </cell>
          <cell r="M31">
            <v>0</v>
          </cell>
        </row>
        <row r="32">
          <cell r="A32">
            <v>11</v>
          </cell>
          <cell r="B32" t="str">
            <v>Solothurn</v>
          </cell>
          <cell r="C32" t="str">
            <v>2005/06</v>
          </cell>
          <cell r="D32">
            <v>443.16</v>
          </cell>
          <cell r="E32">
            <v>44.7</v>
          </cell>
          <cell r="F32">
            <v>224.96</v>
          </cell>
          <cell r="G32">
            <v>123.42</v>
          </cell>
          <cell r="H32">
            <v>23.91</v>
          </cell>
          <cell r="I32">
            <v>26.17</v>
          </cell>
          <cell r="J32">
            <v>247200</v>
          </cell>
          <cell r="L32">
            <v>443.16000000000008</v>
          </cell>
          <cell r="M32">
            <v>5.6843418860808015E-14</v>
          </cell>
        </row>
        <row r="33">
          <cell r="A33">
            <v>12</v>
          </cell>
          <cell r="B33" t="str">
            <v>Basel-Stadt</v>
          </cell>
          <cell r="C33">
            <v>2005</v>
          </cell>
          <cell r="D33">
            <v>137.93</v>
          </cell>
          <cell r="E33">
            <v>12.91</v>
          </cell>
          <cell r="F33">
            <v>68.75</v>
          </cell>
          <cell r="G33">
            <v>34.69</v>
          </cell>
          <cell r="H33">
            <v>3.73</v>
          </cell>
          <cell r="I33">
            <v>17.84</v>
          </cell>
          <cell r="J33">
            <v>190536</v>
          </cell>
          <cell r="L33">
            <v>137.91999999999999</v>
          </cell>
          <cell r="M33">
            <v>-1.0000000000019327E-2</v>
          </cell>
        </row>
        <row r="34">
          <cell r="A34">
            <v>13</v>
          </cell>
          <cell r="B34" t="str">
            <v>Basel-Landschaft</v>
          </cell>
          <cell r="C34" t="str">
            <v>2005/06</v>
          </cell>
          <cell r="D34">
            <v>340.42</v>
          </cell>
          <cell r="E34">
            <v>36.78</v>
          </cell>
          <cell r="F34">
            <v>173.72</v>
          </cell>
          <cell r="G34">
            <v>90.88</v>
          </cell>
          <cell r="H34">
            <v>15.39</v>
          </cell>
          <cell r="I34">
            <v>23.65</v>
          </cell>
          <cell r="J34">
            <v>265083</v>
          </cell>
          <cell r="L34">
            <v>340.41999999999996</v>
          </cell>
          <cell r="M34">
            <v>-5.6843418860808015E-14</v>
          </cell>
        </row>
        <row r="35">
          <cell r="A35">
            <v>14</v>
          </cell>
          <cell r="B35" t="str">
            <v>Schaffhausen</v>
          </cell>
          <cell r="C35" t="str">
            <v>...</v>
          </cell>
          <cell r="D35" t="str">
            <v>...</v>
          </cell>
          <cell r="E35" t="str">
            <v>...</v>
          </cell>
          <cell r="F35" t="str">
            <v>...</v>
          </cell>
          <cell r="G35" t="str">
            <v>...</v>
          </cell>
          <cell r="H35" t="str">
            <v>...</v>
          </cell>
          <cell r="I35" t="str">
            <v>...</v>
          </cell>
          <cell r="J35" t="str">
            <v>...</v>
          </cell>
          <cell r="L35" t="str">
            <v>...</v>
          </cell>
          <cell r="M35"/>
        </row>
        <row r="36">
          <cell r="A36">
            <v>15</v>
          </cell>
          <cell r="B36" t="str">
            <v>Appenzell Ausserrhoden</v>
          </cell>
          <cell r="C36" t="str">
            <v>...</v>
          </cell>
          <cell r="D36" t="str">
            <v>...</v>
          </cell>
          <cell r="E36" t="str">
            <v>...</v>
          </cell>
          <cell r="F36" t="str">
            <v>...</v>
          </cell>
          <cell r="G36" t="str">
            <v>...</v>
          </cell>
          <cell r="H36" t="str">
            <v>...</v>
          </cell>
          <cell r="I36" t="str">
            <v>...</v>
          </cell>
          <cell r="J36" t="str">
            <v>...</v>
          </cell>
          <cell r="L36" t="str">
            <v>...</v>
          </cell>
          <cell r="M36"/>
        </row>
        <row r="37">
          <cell r="A37">
            <v>16</v>
          </cell>
          <cell r="B37" t="str">
            <v>Appenzell Innerrhoden</v>
          </cell>
          <cell r="C37" t="str">
            <v>...</v>
          </cell>
          <cell r="D37" t="str">
            <v>...</v>
          </cell>
          <cell r="E37" t="str">
            <v>...</v>
          </cell>
          <cell r="F37" t="str">
            <v>...</v>
          </cell>
          <cell r="G37" t="str">
            <v>...</v>
          </cell>
          <cell r="H37" t="str">
            <v>...</v>
          </cell>
          <cell r="I37" t="str">
            <v>...</v>
          </cell>
          <cell r="J37" t="str">
            <v>...</v>
          </cell>
          <cell r="L37" t="str">
            <v>...</v>
          </cell>
          <cell r="M37"/>
        </row>
        <row r="38">
          <cell r="A38">
            <v>17</v>
          </cell>
          <cell r="B38" t="str">
            <v>St. Gallen</v>
          </cell>
          <cell r="C38" t="str">
            <v>...</v>
          </cell>
          <cell r="D38" t="str">
            <v>...</v>
          </cell>
          <cell r="E38" t="str">
            <v>...</v>
          </cell>
          <cell r="F38" t="str">
            <v>...</v>
          </cell>
          <cell r="G38" t="str">
            <v>...</v>
          </cell>
          <cell r="H38" t="str">
            <v>...</v>
          </cell>
          <cell r="I38" t="str">
            <v>...</v>
          </cell>
          <cell r="J38" t="str">
            <v>...</v>
          </cell>
          <cell r="L38" t="str">
            <v>...</v>
          </cell>
          <cell r="M38"/>
        </row>
        <row r="39">
          <cell r="A39">
            <v>18</v>
          </cell>
          <cell r="B39" t="str">
            <v>Graubünden</v>
          </cell>
          <cell r="C39" t="str">
            <v>...</v>
          </cell>
          <cell r="D39" t="str">
            <v>...</v>
          </cell>
          <cell r="E39" t="str">
            <v>...</v>
          </cell>
          <cell r="F39" t="str">
            <v>...</v>
          </cell>
          <cell r="G39" t="str">
            <v>...</v>
          </cell>
          <cell r="H39" t="str">
            <v>...</v>
          </cell>
          <cell r="I39" t="str">
            <v>...</v>
          </cell>
          <cell r="J39" t="str">
            <v>...</v>
          </cell>
          <cell r="L39" t="str">
            <v>...</v>
          </cell>
          <cell r="M39"/>
        </row>
        <row r="40">
          <cell r="A40">
            <v>19</v>
          </cell>
          <cell r="B40" t="str">
            <v>Aargau</v>
          </cell>
          <cell r="C40" t="str">
            <v>2006/07</v>
          </cell>
          <cell r="D40">
            <v>413.82</v>
          </cell>
          <cell r="E40">
            <v>42.07</v>
          </cell>
          <cell r="F40">
            <v>208.93</v>
          </cell>
          <cell r="G40">
            <v>117.37</v>
          </cell>
          <cell r="H40">
            <v>25.55</v>
          </cell>
          <cell r="I40">
            <v>19.899999999999999</v>
          </cell>
          <cell r="J40">
            <v>576457</v>
          </cell>
          <cell r="L40">
            <v>413.82</v>
          </cell>
          <cell r="M40">
            <v>0</v>
          </cell>
        </row>
        <row r="41">
          <cell r="A41">
            <v>20</v>
          </cell>
          <cell r="B41" t="str">
            <v>Thurgau</v>
          </cell>
          <cell r="C41" t="str">
            <v>...</v>
          </cell>
          <cell r="D41" t="str">
            <v>...</v>
          </cell>
          <cell r="E41" t="str">
            <v>...</v>
          </cell>
          <cell r="F41" t="str">
            <v>...</v>
          </cell>
          <cell r="G41" t="str">
            <v>...</v>
          </cell>
          <cell r="H41" t="str">
            <v>...</v>
          </cell>
          <cell r="I41" t="str">
            <v>...</v>
          </cell>
          <cell r="J41" t="str">
            <v>...</v>
          </cell>
          <cell r="L41" t="str">
            <v>...</v>
          </cell>
          <cell r="M41"/>
        </row>
        <row r="42">
          <cell r="A42">
            <v>21</v>
          </cell>
          <cell r="B42" t="str">
            <v>Ticino</v>
          </cell>
          <cell r="C42" t="str">
            <v>...</v>
          </cell>
          <cell r="D42" t="str">
            <v>...</v>
          </cell>
          <cell r="E42" t="str">
            <v>...</v>
          </cell>
          <cell r="F42" t="str">
            <v>...</v>
          </cell>
          <cell r="G42" t="str">
            <v>...</v>
          </cell>
          <cell r="H42" t="str">
            <v>...</v>
          </cell>
          <cell r="I42" t="str">
            <v>...</v>
          </cell>
          <cell r="J42" t="str">
            <v>...</v>
          </cell>
          <cell r="L42" t="str">
            <v>...</v>
          </cell>
          <cell r="M42"/>
        </row>
        <row r="43">
          <cell r="A43">
            <v>22</v>
          </cell>
          <cell r="B43" t="str">
            <v>Vaud</v>
          </cell>
          <cell r="C43" t="str">
            <v>2004/05</v>
          </cell>
          <cell r="D43">
            <v>454.97</v>
          </cell>
          <cell r="E43">
            <v>28.08</v>
          </cell>
          <cell r="F43">
            <v>218.5</v>
          </cell>
          <cell r="G43">
            <v>153.69</v>
          </cell>
          <cell r="H43">
            <v>21.99</v>
          </cell>
          <cell r="I43">
            <v>32.71</v>
          </cell>
          <cell r="J43">
            <v>658127</v>
          </cell>
          <cell r="L43">
            <v>454.96999999999997</v>
          </cell>
          <cell r="M43">
            <v>-5.6843418860808015E-14</v>
          </cell>
        </row>
        <row r="44">
          <cell r="A44">
            <v>23</v>
          </cell>
          <cell r="B44" t="str">
            <v>Valais</v>
          </cell>
          <cell r="C44" t="str">
            <v>...</v>
          </cell>
          <cell r="D44" t="str">
            <v>...</v>
          </cell>
          <cell r="E44" t="str">
            <v>...</v>
          </cell>
          <cell r="F44" t="str">
            <v>...</v>
          </cell>
          <cell r="G44" t="str">
            <v>...</v>
          </cell>
          <cell r="H44" t="str">
            <v>...</v>
          </cell>
          <cell r="I44" t="str">
            <v>...</v>
          </cell>
          <cell r="J44" t="str">
            <v>...</v>
          </cell>
          <cell r="L44" t="str">
            <v>...</v>
          </cell>
          <cell r="M44"/>
        </row>
        <row r="45">
          <cell r="A45">
            <v>24</v>
          </cell>
          <cell r="B45" t="str">
            <v>Neuchâtel</v>
          </cell>
          <cell r="C45" t="str">
            <v>2004/05</v>
          </cell>
          <cell r="D45">
            <v>397.33</v>
          </cell>
          <cell r="E45">
            <v>32.549999999999997</v>
          </cell>
          <cell r="F45">
            <v>188.32</v>
          </cell>
          <cell r="G45">
            <v>124.4</v>
          </cell>
          <cell r="H45">
            <v>22.59</v>
          </cell>
          <cell r="I45">
            <v>29.47</v>
          </cell>
          <cell r="J45">
            <v>168649</v>
          </cell>
          <cell r="L45">
            <v>397.32999999999993</v>
          </cell>
          <cell r="M45">
            <v>-5.6843418860808015E-14</v>
          </cell>
        </row>
        <row r="46">
          <cell r="A46">
            <v>25</v>
          </cell>
          <cell r="B46" t="str">
            <v>Genève</v>
          </cell>
          <cell r="C46">
            <v>2004</v>
          </cell>
          <cell r="D46">
            <v>217.82</v>
          </cell>
          <cell r="E46">
            <v>14.25</v>
          </cell>
          <cell r="F46">
            <v>119.36</v>
          </cell>
          <cell r="G46">
            <v>55.46</v>
          </cell>
          <cell r="H46">
            <v>9.1199999999999992</v>
          </cell>
          <cell r="I46">
            <v>19.64</v>
          </cell>
          <cell r="J46">
            <v>432235</v>
          </cell>
          <cell r="L46">
            <v>217.83000000000004</v>
          </cell>
          <cell r="M46">
            <v>1.0000000000047748E-2</v>
          </cell>
        </row>
        <row r="47">
          <cell r="A47">
            <v>26</v>
          </cell>
          <cell r="B47" t="str">
            <v>Jura</v>
          </cell>
          <cell r="C47">
            <v>2005</v>
          </cell>
          <cell r="D47">
            <v>826.98</v>
          </cell>
          <cell r="E47">
            <v>52.73</v>
          </cell>
          <cell r="F47">
            <v>382.04</v>
          </cell>
          <cell r="G47">
            <v>289.99</v>
          </cell>
          <cell r="H47">
            <v>65.540000000000006</v>
          </cell>
          <cell r="I47">
            <v>36.67</v>
          </cell>
          <cell r="J47">
            <v>67898</v>
          </cell>
          <cell r="L47">
            <v>826.96999999999991</v>
          </cell>
          <cell r="M47">
            <v>-1.0000000000104592E-2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restations.vd.ch/pub/blv-publication/actes/consolide/133.05?key=1720013968335&amp;id=ddc5d535-ca80-4174-92ed-43c721ab7e6a" TargetMode="External"/><Relationship Id="rId2" Type="http://schemas.openxmlformats.org/officeDocument/2006/relationships/hyperlink" Target="https://prestations.vd.ch/pub/blv-publication/actes/consolide/850.01?key=1720013904503&amp;id=f297eb49-bbd1-467c-8406-c7b66e735f61" TargetMode="External"/><Relationship Id="rId1" Type="http://schemas.openxmlformats.org/officeDocument/2006/relationships/hyperlink" Target="https://prestations.vd.ch/pub/blv-publication/actes/consolide/175.51?key=1720013782994&amp;id=20d51e33-17a0-42b4-8736-48e5a8461eb3" TargetMode="External"/><Relationship Id="rId6" Type="http://schemas.openxmlformats.org/officeDocument/2006/relationships/printerSettings" Target="../printerSettings/printerSettings2.bin"/><Relationship Id="rId5" Type="http://schemas.openxmlformats.org/officeDocument/2006/relationships/hyperlink" Target="https://prestations.vd.ch/pub/blv-publication/actes/consolide/175.51.1?key=1743582841409&amp;id=2207a7e5-18a5-4fc5-a3f1-bae1f74e19ef" TargetMode="External"/><Relationship Id="rId4" Type="http://schemas.openxmlformats.org/officeDocument/2006/relationships/hyperlink" Target="https://prestations.vd.ch/pub/blv-publication/actes/consolide/175.575?key=1720014030263&amp;id=fced0a6a-7ef6-427e-afb3-3079fd1d731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E4F5-0333-4B1C-B49D-237F9186EC02}">
  <sheetPr>
    <tabColor rgb="FFCCFFFF"/>
  </sheetPr>
  <dimension ref="B1:E21"/>
  <sheetViews>
    <sheetView zoomScaleNormal="100" workbookViewId="0">
      <selection activeCell="B1" sqref="B1"/>
    </sheetView>
  </sheetViews>
  <sheetFormatPr baseColWidth="10" defaultColWidth="12.5703125" defaultRowHeight="12.75" x14ac:dyDescent="0.2"/>
  <cols>
    <col min="1" max="1" width="12.5703125" style="122"/>
    <col min="2" max="2" width="41.42578125" style="123" customWidth="1"/>
    <col min="3" max="3" width="74" style="121" customWidth="1"/>
    <col min="4" max="16384" width="12.5703125" style="122"/>
  </cols>
  <sheetData>
    <row r="1" spans="2:5" ht="26.45" customHeight="1" x14ac:dyDescent="0.2">
      <c r="B1" s="130" t="s">
        <v>443</v>
      </c>
    </row>
    <row r="3" spans="2:5" ht="18.75" customHeight="1" x14ac:dyDescent="0.2">
      <c r="B3" s="473" t="s">
        <v>470</v>
      </c>
      <c r="C3" s="473"/>
    </row>
    <row r="4" spans="2:5" ht="22.5" customHeight="1" x14ac:dyDescent="0.2">
      <c r="B4" s="124" t="s">
        <v>397</v>
      </c>
      <c r="C4" s="454" t="s">
        <v>506</v>
      </c>
    </row>
    <row r="5" spans="2:5" ht="22.5" customHeight="1" x14ac:dyDescent="0.2">
      <c r="B5" s="125" t="s">
        <v>469</v>
      </c>
      <c r="C5" s="455" t="s">
        <v>507</v>
      </c>
    </row>
    <row r="6" spans="2:5" ht="22.5" customHeight="1" x14ac:dyDescent="0.25">
      <c r="B6" s="126" t="s">
        <v>65</v>
      </c>
      <c r="C6" s="456" t="s">
        <v>508</v>
      </c>
      <c r="E6"/>
    </row>
    <row r="7" spans="2:5" ht="12" customHeight="1" x14ac:dyDescent="0.2">
      <c r="C7" s="457"/>
    </row>
    <row r="8" spans="2:5" ht="18.75" customHeight="1" x14ac:dyDescent="0.2">
      <c r="B8" s="473" t="s">
        <v>478</v>
      </c>
      <c r="C8" s="473"/>
    </row>
    <row r="9" spans="2:5" ht="33.75" customHeight="1" x14ac:dyDescent="0.2">
      <c r="B9" s="127" t="s">
        <v>2</v>
      </c>
      <c r="C9" s="458" t="s">
        <v>528</v>
      </c>
    </row>
    <row r="10" spans="2:5" ht="33.75" customHeight="1" x14ac:dyDescent="0.2">
      <c r="B10" s="128" t="s">
        <v>32</v>
      </c>
      <c r="C10" s="459" t="s">
        <v>548</v>
      </c>
    </row>
    <row r="11" spans="2:5" ht="45" customHeight="1" x14ac:dyDescent="0.2">
      <c r="B11" s="129" t="s">
        <v>467</v>
      </c>
      <c r="C11" s="460" t="s">
        <v>576</v>
      </c>
    </row>
    <row r="12" spans="2:5" ht="12" customHeight="1" x14ac:dyDescent="0.2">
      <c r="C12" s="457"/>
    </row>
    <row r="13" spans="2:5" ht="18.75" customHeight="1" x14ac:dyDescent="0.2">
      <c r="B13" s="473" t="s">
        <v>445</v>
      </c>
      <c r="C13" s="473"/>
    </row>
    <row r="14" spans="2:5" ht="33.75" customHeight="1" x14ac:dyDescent="0.2">
      <c r="B14" s="278" t="s">
        <v>34</v>
      </c>
      <c r="C14" s="461" t="s">
        <v>509</v>
      </c>
    </row>
    <row r="15" spans="2:5" ht="33.75" customHeight="1" x14ac:dyDescent="0.2">
      <c r="B15" s="279" t="s">
        <v>33</v>
      </c>
      <c r="C15" s="461" t="s">
        <v>513</v>
      </c>
    </row>
    <row r="16" spans="2:5" ht="12" customHeight="1" x14ac:dyDescent="0.2">
      <c r="C16" s="457"/>
    </row>
    <row r="17" spans="2:3" ht="18.75" customHeight="1" x14ac:dyDescent="0.2">
      <c r="B17" s="474" t="s">
        <v>468</v>
      </c>
      <c r="C17" s="474"/>
    </row>
    <row r="18" spans="2:3" ht="22.5" customHeight="1" x14ac:dyDescent="0.2">
      <c r="B18" s="139" t="s">
        <v>453</v>
      </c>
      <c r="C18" s="462" t="s">
        <v>510</v>
      </c>
    </row>
    <row r="19" spans="2:3" ht="22.5" customHeight="1" x14ac:dyDescent="0.2">
      <c r="B19" s="139" t="s">
        <v>499</v>
      </c>
      <c r="C19" s="462" t="s">
        <v>511</v>
      </c>
    </row>
    <row r="20" spans="2:3" ht="22.5" customHeight="1" x14ac:dyDescent="0.2">
      <c r="B20" s="139" t="s">
        <v>487</v>
      </c>
      <c r="C20" s="462" t="s">
        <v>512</v>
      </c>
    </row>
    <row r="21" spans="2:3" ht="22.5" customHeight="1" x14ac:dyDescent="0.2">
      <c r="B21" s="139" t="s">
        <v>564</v>
      </c>
      <c r="C21" s="462" t="s">
        <v>575</v>
      </c>
    </row>
  </sheetData>
  <sheetProtection sheet="1" objects="1" scenarios="1"/>
  <mergeCells count="4">
    <mergeCell ref="B13:C13"/>
    <mergeCell ref="B8:C8"/>
    <mergeCell ref="B17:C17"/>
    <mergeCell ref="B3:C3"/>
  </mergeCells>
  <hyperlinks>
    <hyperlink ref="B4" location="Paramètres!A1" display="Paramètres" xr:uid="{7225B79D-73A7-45FF-B1C4-47A729987C0E}"/>
    <hyperlink ref="B19" location="'Synthèse par commune'!A1" display="Synthèse par commune" xr:uid="{3EAC0EFF-899A-4D62-8FCA-6C9CC8FCA8DE}"/>
    <hyperlink ref="B5" location="Données!A1" display="Données de base" xr:uid="{EAB7928F-8EAF-48F0-8B7D-2DE52615BDE9}"/>
    <hyperlink ref="B15" location="Police!A1" display="Facture policière" xr:uid="{035511D7-3C79-4122-959B-8C87FAD8B722}"/>
    <hyperlink ref="B18" location="Synthèse!A1" display="Synthèse" xr:uid="{D6743E6D-33E6-4F5B-9467-09FFF2009305}"/>
    <hyperlink ref="B14" location="PCS!A1" display="Participation à la cohésion sociale (PCS)" xr:uid="{AD8AD353-596B-4AFB-BB97-80FFB74640BF}"/>
    <hyperlink ref="B11" location="'Charges des villes'!A1" display="Compensation des charges des villes" xr:uid="{AE73A6AC-FAE0-4F36-8AB8-15B26B12EAF0}"/>
    <hyperlink ref="B10" location="'Besoins structurels'!A1" display="Péréquation des besoins structurels" xr:uid="{B28CC349-F12A-4822-B635-02102130FF14}"/>
    <hyperlink ref="B9" location="Ressources!A1" display="Péréquation des ressources" xr:uid="{37D6F3BA-E5AC-4B43-99C0-F520FE0202ED}"/>
    <hyperlink ref="B6" location="RFS!A1" display="Revenus fiscal standardisé (RFS)" xr:uid="{0ED946F9-C96D-444A-BFBE-78646A757013}"/>
    <hyperlink ref="B20" location="'Détail par commune'!A1" display="Détail par commune" xr:uid="{FD51FDA1-9341-407D-A99E-4F20E1F0017E}"/>
    <hyperlink ref="B21" location="'Données par commune'!A1" display="Données par commune" xr:uid="{2AD5ADD3-3A56-40DD-9C0E-F7630F054F4D}"/>
  </hyperlink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5751D-2F16-4C66-B637-5BEEEB9608C8}">
  <dimension ref="A1:V322"/>
  <sheetViews>
    <sheetView zoomScale="90" zoomScaleNormal="90" workbookViewId="0"/>
  </sheetViews>
  <sheetFormatPr baseColWidth="10" defaultRowHeight="15" x14ac:dyDescent="0.25"/>
  <cols>
    <col min="1" max="1" width="26.7109375" style="175" customWidth="1"/>
    <col min="2" max="3" width="12.85546875" style="175" customWidth="1"/>
    <col min="4" max="4" width="7.140625" style="175" customWidth="1"/>
    <col min="5" max="6" width="19.140625" style="175" customWidth="1"/>
    <col min="7" max="7" width="12.85546875" style="175" customWidth="1"/>
    <col min="8" max="8" width="7.140625" style="175" customWidth="1"/>
    <col min="9" max="10" width="19.28515625" style="175" customWidth="1"/>
    <col min="11" max="11" width="12.85546875" style="175" customWidth="1"/>
    <col min="12" max="12" width="4.28515625" style="175" customWidth="1"/>
    <col min="13" max="13" width="13.42578125" style="175" customWidth="1"/>
    <col min="14" max="21" width="12.85546875" style="175" customWidth="1"/>
    <col min="22" max="22" width="4.28515625" style="175" customWidth="1"/>
    <col min="23" max="16384" width="11.42578125" style="175"/>
  </cols>
  <sheetData>
    <row r="1" spans="1:22" ht="27" customHeight="1" x14ac:dyDescent="0.25">
      <c r="A1" s="172" t="s">
        <v>397</v>
      </c>
      <c r="B1" s="173" t="s">
        <v>442</v>
      </c>
      <c r="C1" s="174" t="s">
        <v>443</v>
      </c>
      <c r="D1" s="475" t="s">
        <v>444</v>
      </c>
      <c r="E1" s="475"/>
      <c r="H1" s="196"/>
      <c r="I1" s="488"/>
      <c r="J1" s="489"/>
    </row>
    <row r="2" spans="1:22" ht="26.25" x14ac:dyDescent="0.2">
      <c r="A2" s="172"/>
      <c r="B2" s="172"/>
      <c r="C2" s="172"/>
      <c r="I2" s="176"/>
      <c r="J2" s="176"/>
    </row>
    <row r="3" spans="1:22" ht="15" customHeight="1" x14ac:dyDescent="0.25"/>
    <row r="4" spans="1:22" s="177" customFormat="1" ht="22.5" customHeight="1" x14ac:dyDescent="0.25">
      <c r="A4" s="491" t="s">
        <v>2</v>
      </c>
      <c r="B4" s="491"/>
      <c r="C4" s="491"/>
      <c r="E4" s="479" t="s">
        <v>519</v>
      </c>
      <c r="F4" s="479"/>
      <c r="G4" s="479"/>
      <c r="I4" s="479" t="s">
        <v>456</v>
      </c>
      <c r="J4" s="479"/>
      <c r="K4" s="479"/>
      <c r="M4" s="178" t="s">
        <v>439</v>
      </c>
      <c r="N4" s="178" t="s">
        <v>438</v>
      </c>
      <c r="O4" s="178" t="s">
        <v>399</v>
      </c>
      <c r="P4" s="179" t="s">
        <v>403</v>
      </c>
      <c r="Q4" s="178" t="str">
        <f>IF(M5="Décompte prévisionnel",CONCATENATE("IPC avril ",N5-1),IF(M5="Décompte final",CONCATENATE("IPC avril ",N5),"ERREUR"))</f>
        <v>IPC avril 2025</v>
      </c>
      <c r="S4" s="491" t="s">
        <v>535</v>
      </c>
      <c r="T4" s="491"/>
      <c r="U4" s="491"/>
    </row>
    <row r="5" spans="1:22" ht="22.5" customHeight="1" x14ac:dyDescent="0.25">
      <c r="A5" s="490" t="s">
        <v>537</v>
      </c>
      <c r="B5" s="490"/>
      <c r="C5" s="180">
        <v>0.8</v>
      </c>
      <c r="E5" s="490" t="s">
        <v>530</v>
      </c>
      <c r="F5" s="490"/>
      <c r="G5" s="15">
        <f>G6-G9+G13+G14</f>
        <v>960714255</v>
      </c>
      <c r="H5" s="177"/>
      <c r="I5" s="490" t="s">
        <v>457</v>
      </c>
      <c r="J5" s="490"/>
      <c r="K5" s="181">
        <v>74269768</v>
      </c>
      <c r="M5" s="285" t="s">
        <v>549</v>
      </c>
      <c r="N5" s="143">
        <v>2026</v>
      </c>
      <c r="O5" s="182">
        <f>IF(M5="Décompte prévisionnel",N5-2,IF(M5="Décompte final",N5,"ERREUR"))</f>
        <v>2024</v>
      </c>
      <c r="P5" s="183">
        <v>101.1</v>
      </c>
      <c r="Q5" s="142">
        <v>107.5</v>
      </c>
      <c r="S5" s="497" t="s">
        <v>400</v>
      </c>
      <c r="T5" s="498"/>
      <c r="U5" s="180">
        <v>0.6</v>
      </c>
    </row>
    <row r="6" spans="1:22" ht="22.5" customHeight="1" x14ac:dyDescent="0.25">
      <c r="A6" s="484" t="s">
        <v>538</v>
      </c>
      <c r="B6" s="485"/>
      <c r="C6" s="180">
        <v>0.9</v>
      </c>
      <c r="E6" s="499" t="s">
        <v>531</v>
      </c>
      <c r="F6" s="500"/>
      <c r="G6" s="144">
        <v>842017811</v>
      </c>
      <c r="I6" s="490" t="s">
        <v>458</v>
      </c>
      <c r="J6" s="490"/>
      <c r="K6" s="184">
        <v>1.4999999999999999E-2</v>
      </c>
      <c r="P6" s="493" t="s">
        <v>536</v>
      </c>
      <c r="Q6" s="493"/>
    </row>
    <row r="7" spans="1:22" ht="22.5" customHeight="1" thickBot="1" x14ac:dyDescent="0.3">
      <c r="A7" s="501" t="s">
        <v>539</v>
      </c>
      <c r="B7" s="502"/>
      <c r="C7" s="505">
        <v>1</v>
      </c>
      <c r="E7" s="483" t="s">
        <v>455</v>
      </c>
      <c r="F7" s="483"/>
      <c r="G7" s="483"/>
      <c r="I7" s="490" t="str">
        <f>CONCATENATE("Facture ",N5)</f>
        <v>Facture 2026</v>
      </c>
      <c r="J7" s="490"/>
      <c r="K7" s="15">
        <f>ROUND((K5*(1+K6)^(N5-2025)),0)</f>
        <v>75383815</v>
      </c>
      <c r="M7" s="479" t="s">
        <v>466</v>
      </c>
      <c r="N7" s="479"/>
      <c r="O7" s="479"/>
      <c r="P7" s="479"/>
      <c r="Q7" s="479"/>
      <c r="R7" s="479"/>
      <c r="S7" s="479"/>
      <c r="T7" s="479"/>
      <c r="U7" s="479"/>
    </row>
    <row r="8" spans="1:22" ht="22.5" customHeight="1" thickTop="1" thickBot="1" x14ac:dyDescent="0.3">
      <c r="A8" s="503"/>
      <c r="B8" s="504"/>
      <c r="C8" s="506"/>
      <c r="E8" s="507" t="s">
        <v>479</v>
      </c>
      <c r="F8" s="508"/>
      <c r="G8" s="185">
        <v>160000000</v>
      </c>
      <c r="I8" s="484" t="s">
        <v>459</v>
      </c>
      <c r="J8" s="485"/>
      <c r="K8" s="180">
        <v>0.35</v>
      </c>
      <c r="M8" s="480" t="s">
        <v>50</v>
      </c>
      <c r="N8" s="481"/>
      <c r="O8" s="481"/>
      <c r="P8" s="481"/>
      <c r="Q8" s="481"/>
      <c r="R8" s="481"/>
      <c r="S8" s="481"/>
      <c r="T8" s="481"/>
      <c r="U8" s="482"/>
    </row>
    <row r="9" spans="1:22" ht="22.5" customHeight="1" thickTop="1" x14ac:dyDescent="0.25">
      <c r="A9" s="501" t="s">
        <v>540</v>
      </c>
      <c r="B9" s="511"/>
      <c r="C9" s="517">
        <v>0.5</v>
      </c>
      <c r="E9" s="514" t="s">
        <v>524</v>
      </c>
      <c r="F9" s="514"/>
      <c r="G9" s="145">
        <f>-43309900-859800</f>
        <v>-44169700</v>
      </c>
      <c r="I9" s="484" t="s">
        <v>460</v>
      </c>
      <c r="J9" s="485"/>
      <c r="K9" s="180">
        <v>0.5</v>
      </c>
      <c r="M9" s="186" t="s">
        <v>22</v>
      </c>
      <c r="N9" s="112">
        <v>0</v>
      </c>
      <c r="O9" s="112">
        <v>1000</v>
      </c>
      <c r="P9" s="112">
        <v>3000</v>
      </c>
      <c r="Q9" s="112">
        <v>5000</v>
      </c>
      <c r="R9" s="112">
        <v>12000</v>
      </c>
      <c r="S9" s="112">
        <v>15000</v>
      </c>
      <c r="T9" s="112">
        <v>30000</v>
      </c>
      <c r="U9" s="112">
        <v>45000</v>
      </c>
    </row>
    <row r="10" spans="1:22" ht="22.5" customHeight="1" x14ac:dyDescent="0.25">
      <c r="A10" s="515"/>
      <c r="B10" s="516"/>
      <c r="C10" s="518"/>
      <c r="E10" s="512" t="s">
        <v>525</v>
      </c>
      <c r="F10" s="512"/>
      <c r="G10" s="146">
        <v>-17940000</v>
      </c>
      <c r="I10" s="494" t="s">
        <v>461</v>
      </c>
      <c r="J10" s="495"/>
      <c r="K10" s="180">
        <v>0.5</v>
      </c>
      <c r="M10" s="187" t="s">
        <v>23</v>
      </c>
      <c r="N10" s="112">
        <v>1000</v>
      </c>
      <c r="O10" s="112">
        <v>3000</v>
      </c>
      <c r="P10" s="112">
        <v>5000</v>
      </c>
      <c r="Q10" s="112">
        <v>12000</v>
      </c>
      <c r="R10" s="112">
        <v>15000</v>
      </c>
      <c r="S10" s="112">
        <v>30000</v>
      </c>
      <c r="T10" s="112">
        <v>45000</v>
      </c>
      <c r="U10" s="112" t="str">
        <f>""</f>
        <v/>
      </c>
    </row>
    <row r="11" spans="1:22" ht="22.5" customHeight="1" x14ac:dyDescent="0.25">
      <c r="A11" s="501" t="s">
        <v>541</v>
      </c>
      <c r="B11" s="511"/>
      <c r="C11" s="188">
        <v>0.3</v>
      </c>
      <c r="E11" s="512" t="s">
        <v>526</v>
      </c>
      <c r="F11" s="512"/>
      <c r="G11" s="140">
        <f>(Ressources!L308+'Besoins structurels'!V308+'Besoins structurels'!N308+'Besoins structurels'!I308)</f>
        <v>-30997337</v>
      </c>
      <c r="I11" s="269"/>
      <c r="J11" s="269"/>
      <c r="M11" s="187" t="s">
        <v>28</v>
      </c>
      <c r="N11" s="71">
        <v>125</v>
      </c>
      <c r="O11" s="71">
        <v>350</v>
      </c>
      <c r="P11" s="486">
        <v>625</v>
      </c>
      <c r="Q11" s="487"/>
      <c r="R11" s="71">
        <v>1000</v>
      </c>
      <c r="S11" s="71">
        <v>1050</v>
      </c>
      <c r="T11" s="71">
        <v>1100</v>
      </c>
      <c r="U11" s="71">
        <v>1150</v>
      </c>
    </row>
    <row r="12" spans="1:22" ht="22.5" customHeight="1" thickBot="1" x14ac:dyDescent="0.3">
      <c r="A12" s="484" t="s">
        <v>542</v>
      </c>
      <c r="B12" s="485"/>
      <c r="C12" s="181">
        <v>450000</v>
      </c>
      <c r="E12" s="513" t="s">
        <v>462</v>
      </c>
      <c r="F12" s="513"/>
      <c r="G12" s="189">
        <f>-SUM(C23:C322)*K12</f>
        <v>-10113300</v>
      </c>
      <c r="H12" s="190"/>
      <c r="I12" s="484" t="s">
        <v>462</v>
      </c>
      <c r="J12" s="485"/>
      <c r="K12" s="171">
        <f>IF(N5=2025,100%,IF(N5=2026,100%,IF(N5=2027,75%,IF(N5=2028,50%,IF(N5=2029,25%,0)))))</f>
        <v>1</v>
      </c>
      <c r="M12" s="191" t="s">
        <v>406</v>
      </c>
      <c r="N12" s="110">
        <f t="shared" ref="N12:U12" si="0">N11/$P$5*$Q$5</f>
        <v>132.9129574678536</v>
      </c>
      <c r="O12" s="110">
        <f t="shared" si="0"/>
        <v>372.15628090999013</v>
      </c>
      <c r="P12" s="477">
        <f t="shared" si="0"/>
        <v>664.56478733926804</v>
      </c>
      <c r="Q12" s="478"/>
      <c r="R12" s="138">
        <f t="shared" si="0"/>
        <v>1063.3036597428288</v>
      </c>
      <c r="S12" s="110">
        <f t="shared" si="0"/>
        <v>1116.4688427299704</v>
      </c>
      <c r="T12" s="110">
        <f t="shared" si="0"/>
        <v>1169.6340257171119</v>
      </c>
      <c r="U12" s="110">
        <f t="shared" si="0"/>
        <v>1222.7992087042533</v>
      </c>
    </row>
    <row r="13" spans="1:22" ht="22.5" customHeight="1" thickTop="1" thickBot="1" x14ac:dyDescent="0.3">
      <c r="A13" s="484" t="str">
        <f>_xlfn.CONCAT("Montant compensation RFFA ",O5)</f>
        <v>Montant compensation RFFA 2024</v>
      </c>
      <c r="B13" s="485"/>
      <c r="C13" s="145">
        <v>37594416.880000003</v>
      </c>
      <c r="E13" s="509" t="s">
        <v>527</v>
      </c>
      <c r="F13" s="510"/>
      <c r="G13" s="192">
        <f>G8+SUM(G9:G12)</f>
        <v>56779663</v>
      </c>
      <c r="H13" s="190"/>
      <c r="M13" s="496" t="s">
        <v>480</v>
      </c>
      <c r="N13" s="492">
        <v>2</v>
      </c>
      <c r="O13" s="492">
        <v>3</v>
      </c>
      <c r="P13" s="492">
        <v>3.5</v>
      </c>
      <c r="Q13" s="492">
        <v>4</v>
      </c>
      <c r="R13" s="492">
        <v>5</v>
      </c>
      <c r="S13" s="492">
        <v>6</v>
      </c>
      <c r="T13" s="492">
        <v>7</v>
      </c>
      <c r="U13" s="492">
        <v>8</v>
      </c>
      <c r="V13" s="193"/>
    </row>
    <row r="14" spans="1:22" ht="22.5" customHeight="1" thickTop="1" thickBot="1" x14ac:dyDescent="0.3">
      <c r="E14" s="507" t="s">
        <v>580</v>
      </c>
      <c r="F14" s="508"/>
      <c r="G14" s="471">
        <v>17747081</v>
      </c>
      <c r="M14" s="496"/>
      <c r="N14" s="492"/>
      <c r="O14" s="492"/>
      <c r="P14" s="492"/>
      <c r="Q14" s="492"/>
      <c r="R14" s="492"/>
      <c r="S14" s="492"/>
      <c r="T14" s="492"/>
      <c r="U14" s="492"/>
    </row>
    <row r="15" spans="1:22" ht="22.5" customHeight="1" thickTop="1" x14ac:dyDescent="0.25">
      <c r="A15" s="491" t="s">
        <v>532</v>
      </c>
      <c r="B15" s="491"/>
      <c r="C15" s="491"/>
      <c r="I15" s="479" t="s">
        <v>534</v>
      </c>
      <c r="J15" s="479"/>
      <c r="K15" s="479"/>
      <c r="U15" s="193"/>
    </row>
    <row r="16" spans="1:22" ht="22.5" customHeight="1" x14ac:dyDescent="0.25">
      <c r="A16" s="484" t="s">
        <v>454</v>
      </c>
      <c r="B16" s="485"/>
      <c r="C16" s="180">
        <v>1.2</v>
      </c>
      <c r="E16" s="491" t="s">
        <v>533</v>
      </c>
      <c r="F16" s="491"/>
      <c r="G16" s="491"/>
      <c r="I16" s="490" t="s">
        <v>454</v>
      </c>
      <c r="J16" s="490"/>
      <c r="K16" s="180">
        <v>1.2</v>
      </c>
      <c r="M16" s="194" t="s">
        <v>581</v>
      </c>
      <c r="N16" s="476" t="s">
        <v>546</v>
      </c>
      <c r="O16" s="476"/>
      <c r="P16" s="476"/>
      <c r="Q16" s="476"/>
      <c r="R16" s="476"/>
      <c r="S16" s="476"/>
      <c r="T16" s="476"/>
      <c r="U16" s="476"/>
    </row>
    <row r="17" spans="1:21" ht="22.5" customHeight="1" x14ac:dyDescent="0.25">
      <c r="A17" s="484" t="s">
        <v>408</v>
      </c>
      <c r="B17" s="485"/>
      <c r="C17" s="71">
        <v>100</v>
      </c>
      <c r="E17" s="484" t="s">
        <v>410</v>
      </c>
      <c r="F17" s="485"/>
      <c r="G17" s="71">
        <v>550</v>
      </c>
      <c r="I17" s="490" t="s">
        <v>409</v>
      </c>
      <c r="J17" s="490"/>
      <c r="K17" s="71">
        <v>4000</v>
      </c>
      <c r="M17" s="194" t="s">
        <v>517</v>
      </c>
      <c r="N17" s="476" t="s">
        <v>557</v>
      </c>
      <c r="O17" s="476"/>
      <c r="P17" s="476"/>
      <c r="Q17" s="476"/>
      <c r="R17" s="476"/>
      <c r="S17" s="476"/>
      <c r="T17" s="476"/>
      <c r="U17" s="476"/>
    </row>
    <row r="18" spans="1:21" ht="22.5" customHeight="1" x14ac:dyDescent="0.25">
      <c r="A18" s="484" t="s">
        <v>406</v>
      </c>
      <c r="B18" s="485"/>
      <c r="C18" s="110">
        <f>C17/P5*Q5</f>
        <v>106.3303659742829</v>
      </c>
      <c r="E18" s="484" t="s">
        <v>406</v>
      </c>
      <c r="F18" s="485"/>
      <c r="G18" s="110">
        <f>G17/P5*Q5</f>
        <v>584.81701285855593</v>
      </c>
      <c r="I18" s="490" t="s">
        <v>406</v>
      </c>
      <c r="J18" s="490"/>
      <c r="K18" s="110">
        <f>K17/P5*Q5</f>
        <v>4253.2146389713153</v>
      </c>
      <c r="M18" s="194" t="s">
        <v>463</v>
      </c>
      <c r="N18" s="476" t="s">
        <v>543</v>
      </c>
      <c r="O18" s="476"/>
      <c r="P18" s="476"/>
      <c r="Q18" s="476"/>
      <c r="R18" s="476"/>
      <c r="S18" s="476"/>
      <c r="T18" s="476"/>
      <c r="U18" s="476"/>
    </row>
    <row r="19" spans="1:21" ht="22.5" customHeight="1" x14ac:dyDescent="0.25">
      <c r="A19" s="484" t="s">
        <v>482</v>
      </c>
      <c r="B19" s="485"/>
      <c r="C19" s="141" t="s">
        <v>394</v>
      </c>
      <c r="E19" s="484" t="s">
        <v>416</v>
      </c>
      <c r="F19" s="485"/>
      <c r="G19" s="111">
        <v>730</v>
      </c>
      <c r="I19" s="490" t="s">
        <v>407</v>
      </c>
      <c r="J19" s="490"/>
      <c r="K19" s="182">
        <v>0.15</v>
      </c>
      <c r="M19" s="194" t="s">
        <v>464</v>
      </c>
      <c r="N19" s="476" t="s">
        <v>544</v>
      </c>
      <c r="O19" s="476"/>
      <c r="P19" s="476"/>
      <c r="Q19" s="476"/>
      <c r="R19" s="476"/>
      <c r="S19" s="476"/>
      <c r="T19" s="476"/>
      <c r="U19" s="476"/>
    </row>
    <row r="20" spans="1:21" ht="22.5" customHeight="1" x14ac:dyDescent="0.25">
      <c r="M20" s="194" t="s">
        <v>465</v>
      </c>
      <c r="N20" s="476" t="s">
        <v>545</v>
      </c>
      <c r="O20" s="476"/>
      <c r="P20" s="476"/>
      <c r="Q20" s="476"/>
      <c r="R20" s="476"/>
      <c r="S20" s="476"/>
      <c r="T20" s="476"/>
      <c r="U20" s="476"/>
    </row>
    <row r="21" spans="1:21" ht="22.5" customHeight="1" x14ac:dyDescent="0.25">
      <c r="G21" s="196"/>
    </row>
    <row r="22" spans="1:21" ht="18.75" x14ac:dyDescent="0.25">
      <c r="A22" s="195" t="s">
        <v>413</v>
      </c>
      <c r="C22" s="195" t="s">
        <v>515</v>
      </c>
    </row>
    <row r="23" spans="1:21" x14ac:dyDescent="0.25">
      <c r="A23" s="296" t="s">
        <v>220</v>
      </c>
      <c r="B23" s="175">
        <v>5621</v>
      </c>
      <c r="C23" s="196">
        <v>0</v>
      </c>
    </row>
    <row r="24" spans="1:21" x14ac:dyDescent="0.25">
      <c r="A24" s="296" t="s">
        <v>296</v>
      </c>
      <c r="B24" s="175">
        <v>5742</v>
      </c>
      <c r="C24" s="196">
        <v>0</v>
      </c>
    </row>
    <row r="25" spans="1:21" x14ac:dyDescent="0.25">
      <c r="A25" s="296" t="s">
        <v>66</v>
      </c>
      <c r="B25" s="175">
        <v>5401</v>
      </c>
      <c r="C25" s="196">
        <v>0</v>
      </c>
    </row>
    <row r="26" spans="1:21" x14ac:dyDescent="0.25">
      <c r="A26" s="296" t="s">
        <v>340</v>
      </c>
      <c r="B26" s="175">
        <v>5851</v>
      </c>
      <c r="C26" s="196">
        <v>0</v>
      </c>
    </row>
    <row r="27" spans="1:21" x14ac:dyDescent="0.25">
      <c r="A27" s="296" t="s">
        <v>265</v>
      </c>
      <c r="B27" s="175">
        <v>5701</v>
      </c>
      <c r="C27" s="196">
        <v>0</v>
      </c>
    </row>
    <row r="28" spans="1:21" x14ac:dyDescent="0.25">
      <c r="A28" s="296" t="s">
        <v>297</v>
      </c>
      <c r="B28" s="175">
        <v>5743</v>
      </c>
      <c r="C28" s="196">
        <v>0</v>
      </c>
    </row>
    <row r="29" spans="1:21" x14ac:dyDescent="0.25">
      <c r="A29" s="296" t="s">
        <v>266</v>
      </c>
      <c r="B29" s="175">
        <v>5702</v>
      </c>
      <c r="C29" s="196">
        <v>0</v>
      </c>
    </row>
    <row r="30" spans="1:21" x14ac:dyDescent="0.25">
      <c r="A30" s="296" t="s">
        <v>165</v>
      </c>
      <c r="B30" s="175">
        <v>5511</v>
      </c>
      <c r="C30" s="196">
        <v>58900</v>
      </c>
    </row>
    <row r="31" spans="1:21" x14ac:dyDescent="0.25">
      <c r="A31" s="296" t="s">
        <v>119</v>
      </c>
      <c r="B31" s="175">
        <v>5422</v>
      </c>
      <c r="C31" s="196">
        <v>0</v>
      </c>
    </row>
    <row r="32" spans="1:21" x14ac:dyDescent="0.25">
      <c r="A32" s="296" t="s">
        <v>132</v>
      </c>
      <c r="B32" s="175">
        <v>5451</v>
      </c>
      <c r="C32" s="196">
        <v>224200</v>
      </c>
    </row>
    <row r="33" spans="1:3" x14ac:dyDescent="0.25">
      <c r="A33" s="296" t="s">
        <v>298</v>
      </c>
      <c r="B33" s="175">
        <v>5744</v>
      </c>
      <c r="C33" s="196">
        <v>49300</v>
      </c>
    </row>
    <row r="34" spans="1:3" x14ac:dyDescent="0.25">
      <c r="A34" s="296" t="s">
        <v>411</v>
      </c>
      <c r="B34" s="175">
        <v>5423</v>
      </c>
      <c r="C34" s="196">
        <v>0</v>
      </c>
    </row>
    <row r="35" spans="1:3" x14ac:dyDescent="0.25">
      <c r="A35" s="296" t="s">
        <v>412</v>
      </c>
      <c r="B35" s="175">
        <v>5703</v>
      </c>
      <c r="C35" s="196">
        <v>0</v>
      </c>
    </row>
    <row r="36" spans="1:3" x14ac:dyDescent="0.25">
      <c r="A36" s="296" t="s">
        <v>299</v>
      </c>
      <c r="B36" s="175">
        <v>5745</v>
      </c>
      <c r="C36" s="196">
        <v>192100</v>
      </c>
    </row>
    <row r="37" spans="1:3" x14ac:dyDescent="0.25">
      <c r="A37" s="296" t="s">
        <v>300</v>
      </c>
      <c r="B37" s="175">
        <v>5746</v>
      </c>
      <c r="C37" s="196">
        <v>87800</v>
      </c>
    </row>
    <row r="38" spans="1:3" x14ac:dyDescent="0.25">
      <c r="A38" s="296" t="s">
        <v>267</v>
      </c>
      <c r="B38" s="175">
        <v>5704</v>
      </c>
      <c r="C38" s="196">
        <v>0</v>
      </c>
    </row>
    <row r="39" spans="1:3" x14ac:dyDescent="0.25">
      <c r="A39" s="296" t="s">
        <v>202</v>
      </c>
      <c r="B39" s="175">
        <v>5581</v>
      </c>
      <c r="C39" s="196">
        <v>0</v>
      </c>
    </row>
    <row r="40" spans="1:3" x14ac:dyDescent="0.25">
      <c r="A40" s="296" t="s">
        <v>365</v>
      </c>
      <c r="B40" s="175">
        <v>5902</v>
      </c>
      <c r="C40" s="196">
        <v>0</v>
      </c>
    </row>
    <row r="41" spans="1:3" x14ac:dyDescent="0.25">
      <c r="A41" s="296" t="s">
        <v>166</v>
      </c>
      <c r="B41" s="175">
        <v>5512</v>
      </c>
      <c r="C41" s="196">
        <v>192200</v>
      </c>
    </row>
    <row r="42" spans="1:3" x14ac:dyDescent="0.25">
      <c r="A42" s="296" t="s">
        <v>120</v>
      </c>
      <c r="B42" s="175">
        <v>5424</v>
      </c>
      <c r="C42" s="196">
        <v>0</v>
      </c>
    </row>
    <row r="43" spans="1:3" x14ac:dyDescent="0.25">
      <c r="A43" s="296" t="s">
        <v>136</v>
      </c>
      <c r="B43" s="175">
        <v>5471</v>
      </c>
      <c r="C43" s="196">
        <v>0</v>
      </c>
    </row>
    <row r="44" spans="1:3" x14ac:dyDescent="0.25">
      <c r="A44" s="296" t="s">
        <v>105</v>
      </c>
      <c r="B44" s="175">
        <v>5402</v>
      </c>
      <c r="C44" s="196">
        <v>147500</v>
      </c>
    </row>
    <row r="45" spans="1:3" x14ac:dyDescent="0.25">
      <c r="A45" s="296" t="s">
        <v>121</v>
      </c>
      <c r="B45" s="175">
        <v>5425</v>
      </c>
      <c r="C45" s="196">
        <v>189800</v>
      </c>
    </row>
    <row r="46" spans="1:3" x14ac:dyDescent="0.25">
      <c r="A46" s="296" t="s">
        <v>366</v>
      </c>
      <c r="B46" s="175">
        <v>5903</v>
      </c>
      <c r="C46" s="196">
        <v>105700</v>
      </c>
    </row>
    <row r="47" spans="1:3" x14ac:dyDescent="0.25">
      <c r="A47" s="296" t="s">
        <v>364</v>
      </c>
      <c r="B47" s="175">
        <v>5892</v>
      </c>
      <c r="C47" s="196">
        <v>324400</v>
      </c>
    </row>
    <row r="48" spans="1:3" x14ac:dyDescent="0.25">
      <c r="A48" s="296" t="s">
        <v>301</v>
      </c>
      <c r="B48" s="175">
        <v>5747</v>
      </c>
      <c r="C48" s="196">
        <v>0</v>
      </c>
    </row>
    <row r="49" spans="1:3" x14ac:dyDescent="0.25">
      <c r="A49" s="296" t="s">
        <v>268</v>
      </c>
      <c r="B49" s="175">
        <v>5705</v>
      </c>
      <c r="C49" s="196">
        <v>0</v>
      </c>
    </row>
    <row r="50" spans="1:3" x14ac:dyDescent="0.25">
      <c r="A50" s="296" t="s">
        <v>186</v>
      </c>
      <c r="B50" s="175">
        <v>5551</v>
      </c>
      <c r="C50" s="196">
        <v>0</v>
      </c>
    </row>
    <row r="51" spans="1:3" x14ac:dyDescent="0.25">
      <c r="A51" s="296" t="s">
        <v>269</v>
      </c>
      <c r="B51" s="175">
        <v>5706</v>
      </c>
      <c r="C51" s="196">
        <v>0</v>
      </c>
    </row>
    <row r="52" spans="1:3" x14ac:dyDescent="0.25">
      <c r="A52" s="296" t="s">
        <v>167</v>
      </c>
      <c r="B52" s="175">
        <v>5514</v>
      </c>
      <c r="C52" s="196">
        <v>0</v>
      </c>
    </row>
    <row r="53" spans="1:3" x14ac:dyDescent="0.25">
      <c r="A53" s="296" t="s">
        <v>122</v>
      </c>
      <c r="B53" s="175">
        <v>5426</v>
      </c>
      <c r="C53" s="196">
        <v>0</v>
      </c>
    </row>
    <row r="54" spans="1:3" x14ac:dyDescent="0.25">
      <c r="A54" s="296" t="s">
        <v>249</v>
      </c>
      <c r="B54" s="175">
        <v>5661</v>
      </c>
      <c r="C54" s="196">
        <v>0</v>
      </c>
    </row>
    <row r="55" spans="1:3" x14ac:dyDescent="0.25">
      <c r="A55" s="296" t="s">
        <v>219</v>
      </c>
      <c r="B55" s="175">
        <v>5613</v>
      </c>
      <c r="C55" s="196">
        <v>0</v>
      </c>
    </row>
    <row r="56" spans="1:3" x14ac:dyDescent="0.25">
      <c r="A56" s="296" t="s">
        <v>137</v>
      </c>
      <c r="B56" s="175">
        <v>5472</v>
      </c>
      <c r="C56" s="196">
        <v>0</v>
      </c>
    </row>
    <row r="57" spans="1:3" x14ac:dyDescent="0.25">
      <c r="A57" s="296" t="s">
        <v>138</v>
      </c>
      <c r="B57" s="175">
        <v>5473</v>
      </c>
      <c r="C57" s="196">
        <v>0</v>
      </c>
    </row>
    <row r="58" spans="1:3" x14ac:dyDescent="0.25">
      <c r="A58" s="296" t="s">
        <v>221</v>
      </c>
      <c r="B58" s="175">
        <v>5622</v>
      </c>
      <c r="C58" s="196">
        <v>0</v>
      </c>
    </row>
    <row r="59" spans="1:3" x14ac:dyDescent="0.25">
      <c r="A59" s="296" t="s">
        <v>168</v>
      </c>
      <c r="B59" s="175">
        <v>5515</v>
      </c>
      <c r="C59" s="196">
        <v>6500</v>
      </c>
    </row>
    <row r="60" spans="1:3" x14ac:dyDescent="0.25">
      <c r="A60" s="296" t="s">
        <v>302</v>
      </c>
      <c r="B60" s="175">
        <v>5748</v>
      </c>
      <c r="C60" s="196">
        <v>0</v>
      </c>
    </row>
    <row r="61" spans="1:3" x14ac:dyDescent="0.25">
      <c r="A61" s="296" t="s">
        <v>222</v>
      </c>
      <c r="B61" s="175">
        <v>5623</v>
      </c>
      <c r="C61" s="196">
        <v>0</v>
      </c>
    </row>
    <row r="62" spans="1:3" x14ac:dyDescent="0.25">
      <c r="A62" s="296" t="s">
        <v>187</v>
      </c>
      <c r="B62" s="175">
        <v>5552</v>
      </c>
      <c r="C62" s="196">
        <v>0</v>
      </c>
    </row>
    <row r="63" spans="1:3" x14ac:dyDescent="0.25">
      <c r="A63" s="296" t="s">
        <v>341</v>
      </c>
      <c r="B63" s="175">
        <v>5852</v>
      </c>
      <c r="C63" s="196">
        <v>0</v>
      </c>
    </row>
    <row r="64" spans="1:3" x14ac:dyDescent="0.25">
      <c r="A64" s="296" t="s">
        <v>342</v>
      </c>
      <c r="B64" s="175">
        <v>5853</v>
      </c>
      <c r="C64" s="196">
        <v>0</v>
      </c>
    </row>
    <row r="65" spans="1:3" x14ac:dyDescent="0.25">
      <c r="A65" s="296" t="s">
        <v>343</v>
      </c>
      <c r="B65" s="175">
        <v>5854</v>
      </c>
      <c r="C65" s="196">
        <v>0</v>
      </c>
    </row>
    <row r="66" spans="1:3" x14ac:dyDescent="0.25">
      <c r="A66" s="296" t="s">
        <v>223</v>
      </c>
      <c r="B66" s="175">
        <v>5624</v>
      </c>
      <c r="C66" s="196">
        <v>0</v>
      </c>
    </row>
    <row r="67" spans="1:3" x14ac:dyDescent="0.25">
      <c r="A67" s="296" t="s">
        <v>250</v>
      </c>
      <c r="B67" s="175">
        <v>5663</v>
      </c>
      <c r="C67" s="196">
        <v>18300</v>
      </c>
    </row>
    <row r="68" spans="1:3" x14ac:dyDescent="0.25">
      <c r="A68" s="296" t="s">
        <v>367</v>
      </c>
      <c r="B68" s="175">
        <v>5904</v>
      </c>
      <c r="C68" s="196">
        <v>0</v>
      </c>
    </row>
    <row r="69" spans="1:3" x14ac:dyDescent="0.25">
      <c r="A69" s="296" t="s">
        <v>188</v>
      </c>
      <c r="B69" s="175">
        <v>5553</v>
      </c>
      <c r="C69" s="196">
        <v>56900</v>
      </c>
    </row>
    <row r="70" spans="1:3" x14ac:dyDescent="0.25">
      <c r="A70" s="296" t="s">
        <v>328</v>
      </c>
      <c r="B70" s="175">
        <v>5812</v>
      </c>
      <c r="C70" s="196">
        <v>5200</v>
      </c>
    </row>
    <row r="71" spans="1:3" x14ac:dyDescent="0.25">
      <c r="A71" s="296" t="s">
        <v>368</v>
      </c>
      <c r="B71" s="175">
        <v>5905</v>
      </c>
      <c r="C71" s="196">
        <v>0</v>
      </c>
    </row>
    <row r="72" spans="1:3" x14ac:dyDescent="0.25">
      <c r="A72" s="296" t="s">
        <v>356</v>
      </c>
      <c r="B72" s="175">
        <v>5882</v>
      </c>
      <c r="C72" s="196">
        <v>0</v>
      </c>
    </row>
    <row r="73" spans="1:3" x14ac:dyDescent="0.25">
      <c r="A73" s="296" t="s">
        <v>101</v>
      </c>
      <c r="B73" s="175">
        <v>5841</v>
      </c>
      <c r="C73" s="196">
        <v>170200</v>
      </c>
    </row>
    <row r="74" spans="1:3" x14ac:dyDescent="0.25">
      <c r="A74" s="296" t="s">
        <v>270</v>
      </c>
      <c r="B74" s="175">
        <v>5707</v>
      </c>
      <c r="C74" s="196">
        <v>0</v>
      </c>
    </row>
    <row r="75" spans="1:3" x14ac:dyDescent="0.25">
      <c r="A75" s="296" t="s">
        <v>271</v>
      </c>
      <c r="B75" s="175">
        <v>5708</v>
      </c>
      <c r="C75" s="196">
        <v>0</v>
      </c>
    </row>
    <row r="76" spans="1:3" x14ac:dyDescent="0.25">
      <c r="A76" s="296" t="s">
        <v>369</v>
      </c>
      <c r="B76" s="175">
        <v>5907</v>
      </c>
      <c r="C76" s="196">
        <v>27800</v>
      </c>
    </row>
    <row r="77" spans="1:3" x14ac:dyDescent="0.25">
      <c r="A77" s="296" t="s">
        <v>140</v>
      </c>
      <c r="B77" s="175">
        <v>5475</v>
      </c>
      <c r="C77" s="196">
        <v>18100</v>
      </c>
    </row>
    <row r="78" spans="1:3" x14ac:dyDescent="0.25">
      <c r="A78" s="296" t="s">
        <v>224</v>
      </c>
      <c r="B78" s="175">
        <v>5627</v>
      </c>
      <c r="C78" s="196">
        <v>0</v>
      </c>
    </row>
    <row r="79" spans="1:3" x14ac:dyDescent="0.25">
      <c r="A79" s="296" t="s">
        <v>251</v>
      </c>
      <c r="B79" s="175">
        <v>5665</v>
      </c>
      <c r="C79" s="196">
        <v>0</v>
      </c>
    </row>
    <row r="80" spans="1:3" x14ac:dyDescent="0.25">
      <c r="A80" s="296" t="s">
        <v>303</v>
      </c>
      <c r="B80" s="175">
        <v>5749</v>
      </c>
      <c r="C80" s="196">
        <v>0</v>
      </c>
    </row>
    <row r="81" spans="1:3" x14ac:dyDescent="0.25">
      <c r="A81" s="296" t="s">
        <v>370</v>
      </c>
      <c r="B81" s="175">
        <v>5908</v>
      </c>
      <c r="C81" s="196">
        <v>0</v>
      </c>
    </row>
    <row r="82" spans="1:3" x14ac:dyDescent="0.25">
      <c r="A82" s="296" t="s">
        <v>371</v>
      </c>
      <c r="B82" s="175">
        <v>5909</v>
      </c>
      <c r="C82" s="196">
        <v>0</v>
      </c>
    </row>
    <row r="83" spans="1:3" x14ac:dyDescent="0.25">
      <c r="A83" s="296" t="s">
        <v>203</v>
      </c>
      <c r="B83" s="175">
        <v>5582</v>
      </c>
      <c r="C83" s="196">
        <v>0</v>
      </c>
    </row>
    <row r="84" spans="1:3" x14ac:dyDescent="0.25">
      <c r="A84" s="296" t="s">
        <v>272</v>
      </c>
      <c r="B84" s="175">
        <v>5709</v>
      </c>
      <c r="C84" s="196">
        <v>0</v>
      </c>
    </row>
    <row r="85" spans="1:3" x14ac:dyDescent="0.25">
      <c r="A85" s="296" t="s">
        <v>106</v>
      </c>
      <c r="B85" s="175">
        <v>5403</v>
      </c>
      <c r="C85" s="196">
        <v>0</v>
      </c>
    </row>
    <row r="86" spans="1:3" x14ac:dyDescent="0.25">
      <c r="A86" s="296" t="s">
        <v>141</v>
      </c>
      <c r="B86" s="175">
        <v>5476</v>
      </c>
      <c r="C86" s="196">
        <v>0</v>
      </c>
    </row>
    <row r="87" spans="1:3" x14ac:dyDescent="0.25">
      <c r="A87" s="296" t="s">
        <v>329</v>
      </c>
      <c r="B87" s="175">
        <v>5813</v>
      </c>
      <c r="C87" s="196">
        <v>0</v>
      </c>
    </row>
    <row r="88" spans="1:3" x14ac:dyDescent="0.25">
      <c r="A88" s="296" t="s">
        <v>212</v>
      </c>
      <c r="B88" s="175">
        <v>5601</v>
      </c>
      <c r="C88" s="196">
        <v>0</v>
      </c>
    </row>
    <row r="89" spans="1:3" x14ac:dyDescent="0.25">
      <c r="A89" s="296" t="s">
        <v>225</v>
      </c>
      <c r="B89" s="175">
        <v>5628</v>
      </c>
      <c r="C89" s="196">
        <v>0</v>
      </c>
    </row>
    <row r="90" spans="1:3" x14ac:dyDescent="0.25">
      <c r="A90" s="296" t="s">
        <v>226</v>
      </c>
      <c r="B90" s="175">
        <v>5629</v>
      </c>
      <c r="C90" s="196">
        <v>25400</v>
      </c>
    </row>
    <row r="91" spans="1:3" x14ac:dyDescent="0.25">
      <c r="A91" s="296" t="s">
        <v>273</v>
      </c>
      <c r="B91" s="175">
        <v>5710</v>
      </c>
      <c r="C91" s="196">
        <v>0</v>
      </c>
    </row>
    <row r="92" spans="1:3" x14ac:dyDescent="0.25">
      <c r="A92" s="296" t="s">
        <v>274</v>
      </c>
      <c r="B92" s="175">
        <v>5711</v>
      </c>
      <c r="C92" s="196">
        <v>0</v>
      </c>
    </row>
    <row r="93" spans="1:3" x14ac:dyDescent="0.25">
      <c r="A93" s="296" t="s">
        <v>189</v>
      </c>
      <c r="B93" s="175">
        <v>5554</v>
      </c>
      <c r="C93" s="196">
        <v>24600</v>
      </c>
    </row>
    <row r="94" spans="1:3" x14ac:dyDescent="0.25">
      <c r="A94" s="296" t="s">
        <v>275</v>
      </c>
      <c r="B94" s="175">
        <v>5712</v>
      </c>
      <c r="C94" s="196">
        <v>0</v>
      </c>
    </row>
    <row r="95" spans="1:3" x14ac:dyDescent="0.25">
      <c r="A95" s="296" t="s">
        <v>107</v>
      </c>
      <c r="B95" s="175">
        <v>5404</v>
      </c>
      <c r="C95" s="196">
        <v>0</v>
      </c>
    </row>
    <row r="96" spans="1:3" x14ac:dyDescent="0.25">
      <c r="A96" s="296" t="s">
        <v>319</v>
      </c>
      <c r="B96" s="175">
        <v>5785</v>
      </c>
      <c r="C96" s="196">
        <v>0</v>
      </c>
    </row>
    <row r="97" spans="1:3" x14ac:dyDescent="0.25">
      <c r="A97" s="296" t="s">
        <v>190</v>
      </c>
      <c r="B97" s="175">
        <v>5555</v>
      </c>
      <c r="C97" s="196">
        <v>68700</v>
      </c>
    </row>
    <row r="98" spans="1:3" x14ac:dyDescent="0.25">
      <c r="A98" s="296" t="s">
        <v>330</v>
      </c>
      <c r="B98" s="175">
        <v>5816</v>
      </c>
      <c r="C98" s="196">
        <v>0</v>
      </c>
    </row>
    <row r="99" spans="1:3" x14ac:dyDescent="0.25">
      <c r="A99" s="296" t="s">
        <v>357</v>
      </c>
      <c r="B99" s="175">
        <v>5883</v>
      </c>
      <c r="C99" s="196">
        <v>0</v>
      </c>
    </row>
    <row r="100" spans="1:3" x14ac:dyDescent="0.25">
      <c r="A100" s="296" t="s">
        <v>358</v>
      </c>
      <c r="B100" s="175">
        <v>5884</v>
      </c>
      <c r="C100" s="196">
        <v>0</v>
      </c>
    </row>
    <row r="101" spans="1:3" x14ac:dyDescent="0.25">
      <c r="A101" s="296" t="s">
        <v>142</v>
      </c>
      <c r="B101" s="175">
        <v>5477</v>
      </c>
      <c r="C101" s="196">
        <v>194400</v>
      </c>
    </row>
    <row r="102" spans="1:3" x14ac:dyDescent="0.25">
      <c r="A102" s="296" t="s">
        <v>276</v>
      </c>
      <c r="B102" s="175">
        <v>5713</v>
      </c>
      <c r="C102" s="196">
        <v>0</v>
      </c>
    </row>
    <row r="103" spans="1:3" x14ac:dyDescent="0.25">
      <c r="A103" s="296" t="s">
        <v>277</v>
      </c>
      <c r="B103" s="175">
        <v>5714</v>
      </c>
      <c r="C103" s="196">
        <v>0</v>
      </c>
    </row>
    <row r="104" spans="1:3" x14ac:dyDescent="0.25">
      <c r="A104" s="296" t="s">
        <v>204</v>
      </c>
      <c r="B104" s="175">
        <v>5583</v>
      </c>
      <c r="C104" s="196">
        <v>0</v>
      </c>
    </row>
    <row r="105" spans="1:3" x14ac:dyDescent="0.25">
      <c r="A105" s="296" t="s">
        <v>372</v>
      </c>
      <c r="B105" s="175">
        <v>5910</v>
      </c>
      <c r="C105" s="196">
        <v>0</v>
      </c>
    </row>
    <row r="106" spans="1:3" x14ac:dyDescent="0.25">
      <c r="A106" s="296" t="s">
        <v>305</v>
      </c>
      <c r="B106" s="175">
        <v>5752</v>
      </c>
      <c r="C106" s="196">
        <v>94500</v>
      </c>
    </row>
    <row r="107" spans="1:3" x14ac:dyDescent="0.25">
      <c r="A107" s="296" t="s">
        <v>143</v>
      </c>
      <c r="B107" s="175">
        <v>5479</v>
      </c>
      <c r="C107" s="196">
        <v>183700</v>
      </c>
    </row>
    <row r="108" spans="1:3" x14ac:dyDescent="0.25">
      <c r="A108" s="296" t="s">
        <v>373</v>
      </c>
      <c r="B108" s="175">
        <v>5911</v>
      </c>
      <c r="C108" s="196">
        <v>0</v>
      </c>
    </row>
    <row r="109" spans="1:3" x14ac:dyDescent="0.25">
      <c r="A109" s="296" t="s">
        <v>133</v>
      </c>
      <c r="B109" s="175">
        <v>5456</v>
      </c>
      <c r="C109" s="196">
        <v>0</v>
      </c>
    </row>
    <row r="110" spans="1:3" x14ac:dyDescent="0.25">
      <c r="A110" s="296" t="s">
        <v>169</v>
      </c>
      <c r="B110" s="175">
        <v>5516</v>
      </c>
      <c r="C110" s="196">
        <v>24100</v>
      </c>
    </row>
    <row r="111" spans="1:3" x14ac:dyDescent="0.25">
      <c r="A111" s="296" t="s">
        <v>252</v>
      </c>
      <c r="B111" s="175">
        <v>5669</v>
      </c>
      <c r="C111" s="196">
        <v>0</v>
      </c>
    </row>
    <row r="112" spans="1:3" x14ac:dyDescent="0.25">
      <c r="A112" s="296" t="s">
        <v>144</v>
      </c>
      <c r="B112" s="175">
        <v>5480</v>
      </c>
      <c r="C112" s="196">
        <v>0</v>
      </c>
    </row>
    <row r="113" spans="1:3" x14ac:dyDescent="0.25">
      <c r="A113" s="296" t="s">
        <v>374</v>
      </c>
      <c r="B113" s="175">
        <v>5912</v>
      </c>
      <c r="C113" s="196">
        <v>0</v>
      </c>
    </row>
    <row r="114" spans="1:3" x14ac:dyDescent="0.25">
      <c r="A114" s="296" t="s">
        <v>227</v>
      </c>
      <c r="B114" s="175">
        <v>5631</v>
      </c>
      <c r="C114" s="196">
        <v>0</v>
      </c>
    </row>
    <row r="115" spans="1:3" x14ac:dyDescent="0.25">
      <c r="A115" s="296" t="s">
        <v>228</v>
      </c>
      <c r="B115" s="175">
        <v>5632</v>
      </c>
      <c r="C115" s="196">
        <v>0</v>
      </c>
    </row>
    <row r="116" spans="1:3" x14ac:dyDescent="0.25">
      <c r="A116" s="296" t="s">
        <v>145</v>
      </c>
      <c r="B116" s="175">
        <v>5481</v>
      </c>
      <c r="C116" s="196">
        <v>0</v>
      </c>
    </row>
    <row r="117" spans="1:3" x14ac:dyDescent="0.25">
      <c r="A117" s="296" t="s">
        <v>253</v>
      </c>
      <c r="B117" s="175">
        <v>5671</v>
      </c>
      <c r="C117" s="196">
        <v>25700</v>
      </c>
    </row>
    <row r="118" spans="1:3" x14ac:dyDescent="0.25">
      <c r="A118" s="296" t="s">
        <v>375</v>
      </c>
      <c r="B118" s="175">
        <v>5913</v>
      </c>
      <c r="C118" s="196">
        <v>0</v>
      </c>
    </row>
    <row r="119" spans="1:3" x14ac:dyDescent="0.25">
      <c r="A119" s="296" t="s">
        <v>278</v>
      </c>
      <c r="B119" s="175">
        <v>5715</v>
      </c>
      <c r="C119" s="196">
        <v>0</v>
      </c>
    </row>
    <row r="120" spans="1:3" x14ac:dyDescent="0.25">
      <c r="A120" s="296" t="s">
        <v>344</v>
      </c>
      <c r="B120" s="175">
        <v>5855</v>
      </c>
      <c r="C120" s="196">
        <v>0</v>
      </c>
    </row>
    <row r="121" spans="1:3" x14ac:dyDescent="0.25">
      <c r="A121" s="296" t="s">
        <v>170</v>
      </c>
      <c r="B121" s="175">
        <v>5518</v>
      </c>
      <c r="C121" s="196">
        <v>385500</v>
      </c>
    </row>
    <row r="122" spans="1:3" x14ac:dyDescent="0.25">
      <c r="A122" s="296" t="s">
        <v>229</v>
      </c>
      <c r="B122" s="175">
        <v>5633</v>
      </c>
      <c r="C122" s="196">
        <v>0</v>
      </c>
    </row>
    <row r="123" spans="1:3" x14ac:dyDescent="0.25">
      <c r="A123" s="296" t="s">
        <v>230</v>
      </c>
      <c r="B123" s="175">
        <v>5634</v>
      </c>
      <c r="C123" s="196">
        <v>0</v>
      </c>
    </row>
    <row r="124" spans="1:3" x14ac:dyDescent="0.25">
      <c r="A124" s="296" t="s">
        <v>146</v>
      </c>
      <c r="B124" s="175">
        <v>5482</v>
      </c>
      <c r="C124" s="196">
        <v>0</v>
      </c>
    </row>
    <row r="125" spans="1:3" x14ac:dyDescent="0.25">
      <c r="A125" s="296" t="s">
        <v>231</v>
      </c>
      <c r="B125" s="175">
        <v>5635</v>
      </c>
      <c r="C125" s="196">
        <v>0</v>
      </c>
    </row>
    <row r="126" spans="1:3" x14ac:dyDescent="0.25">
      <c r="A126" s="296" t="s">
        <v>205</v>
      </c>
      <c r="B126" s="175">
        <v>5584</v>
      </c>
      <c r="C126" s="196">
        <v>334500</v>
      </c>
    </row>
    <row r="127" spans="1:3" x14ac:dyDescent="0.25">
      <c r="A127" s="296" t="s">
        <v>376</v>
      </c>
      <c r="B127" s="175">
        <v>5914</v>
      </c>
      <c r="C127" s="196">
        <v>0</v>
      </c>
    </row>
    <row r="128" spans="1:3" x14ac:dyDescent="0.25">
      <c r="A128" s="296" t="s">
        <v>345</v>
      </c>
      <c r="B128" s="175">
        <v>5856</v>
      </c>
      <c r="C128" s="196">
        <v>0</v>
      </c>
    </row>
    <row r="129" spans="1:3" x14ac:dyDescent="0.25">
      <c r="A129" s="296" t="s">
        <v>171</v>
      </c>
      <c r="B129" s="175">
        <v>5520</v>
      </c>
      <c r="C129" s="196">
        <v>0</v>
      </c>
    </row>
    <row r="130" spans="1:3" x14ac:dyDescent="0.25">
      <c r="A130" s="296" t="s">
        <v>172</v>
      </c>
      <c r="B130" s="175">
        <v>5521</v>
      </c>
      <c r="C130" s="196">
        <v>0</v>
      </c>
    </row>
    <row r="131" spans="1:3" x14ac:dyDescent="0.25">
      <c r="A131" s="296" t="s">
        <v>232</v>
      </c>
      <c r="B131" s="175">
        <v>5636</v>
      </c>
      <c r="C131" s="196">
        <v>0</v>
      </c>
    </row>
    <row r="132" spans="1:3" x14ac:dyDescent="0.25">
      <c r="A132" s="296" t="s">
        <v>279</v>
      </c>
      <c r="B132" s="175">
        <v>5716</v>
      </c>
      <c r="C132" s="196">
        <v>0</v>
      </c>
    </row>
    <row r="133" spans="1:3" x14ac:dyDescent="0.25">
      <c r="A133" s="296" t="s">
        <v>134</v>
      </c>
      <c r="B133" s="175">
        <v>5458</v>
      </c>
      <c r="C133" s="196">
        <v>0</v>
      </c>
    </row>
    <row r="134" spans="1:3" x14ac:dyDescent="0.25">
      <c r="A134" s="296" t="s">
        <v>123</v>
      </c>
      <c r="B134" s="175">
        <v>5427</v>
      </c>
      <c r="C134" s="196">
        <v>0</v>
      </c>
    </row>
    <row r="135" spans="1:3" x14ac:dyDescent="0.25">
      <c r="A135" s="296" t="s">
        <v>147</v>
      </c>
      <c r="B135" s="175">
        <v>5483</v>
      </c>
      <c r="C135" s="196">
        <v>0</v>
      </c>
    </row>
    <row r="136" spans="1:3" x14ac:dyDescent="0.25">
      <c r="A136" s="296" t="s">
        <v>173</v>
      </c>
      <c r="B136" s="175">
        <v>5522</v>
      </c>
      <c r="C136" s="196">
        <v>0</v>
      </c>
    </row>
    <row r="137" spans="1:3" x14ac:dyDescent="0.25">
      <c r="A137" s="296" t="s">
        <v>191</v>
      </c>
      <c r="B137" s="175">
        <v>5556</v>
      </c>
      <c r="C137" s="196">
        <v>0</v>
      </c>
    </row>
    <row r="138" spans="1:3" x14ac:dyDescent="0.25">
      <c r="A138" s="296" t="s">
        <v>192</v>
      </c>
      <c r="B138" s="175">
        <v>5557</v>
      </c>
      <c r="C138" s="196">
        <v>0</v>
      </c>
    </row>
    <row r="139" spans="1:3" x14ac:dyDescent="0.25">
      <c r="A139" s="296" t="s">
        <v>213</v>
      </c>
      <c r="B139" s="175">
        <v>5604</v>
      </c>
      <c r="C139" s="196">
        <v>49200</v>
      </c>
    </row>
    <row r="140" spans="1:3" x14ac:dyDescent="0.25">
      <c r="A140" s="296" t="s">
        <v>280</v>
      </c>
      <c r="B140" s="175">
        <v>5717</v>
      </c>
      <c r="C140" s="196">
        <v>0</v>
      </c>
    </row>
    <row r="141" spans="1:3" x14ac:dyDescent="0.25">
      <c r="A141" s="296" t="s">
        <v>174</v>
      </c>
      <c r="B141" s="175">
        <v>5523</v>
      </c>
      <c r="C141" s="196">
        <v>0</v>
      </c>
    </row>
    <row r="142" spans="1:3" x14ac:dyDescent="0.25">
      <c r="A142" s="296" t="s">
        <v>281</v>
      </c>
      <c r="B142" s="175">
        <v>5718</v>
      </c>
      <c r="C142" s="196">
        <v>0</v>
      </c>
    </row>
    <row r="143" spans="1:3" x14ac:dyDescent="0.25">
      <c r="A143" s="296" t="s">
        <v>193</v>
      </c>
      <c r="B143" s="175">
        <v>5559</v>
      </c>
      <c r="C143" s="196">
        <v>0</v>
      </c>
    </row>
    <row r="144" spans="1:3" x14ac:dyDescent="0.25">
      <c r="A144" s="296" t="s">
        <v>346</v>
      </c>
      <c r="B144" s="175">
        <v>5857</v>
      </c>
      <c r="C144" s="196">
        <v>0</v>
      </c>
    </row>
    <row r="145" spans="1:3" x14ac:dyDescent="0.25">
      <c r="A145" s="296" t="s">
        <v>124</v>
      </c>
      <c r="B145" s="175">
        <v>5428</v>
      </c>
      <c r="C145" s="196">
        <v>82700</v>
      </c>
    </row>
    <row r="146" spans="1:3" x14ac:dyDescent="0.25">
      <c r="A146" s="296" t="s">
        <v>282</v>
      </c>
      <c r="B146" s="175">
        <v>5719</v>
      </c>
      <c r="C146" s="196">
        <v>0</v>
      </c>
    </row>
    <row r="147" spans="1:3" x14ac:dyDescent="0.25">
      <c r="A147" s="296" t="s">
        <v>283</v>
      </c>
      <c r="B147" s="175">
        <v>5720</v>
      </c>
      <c r="C147" s="196">
        <v>0</v>
      </c>
    </row>
    <row r="148" spans="1:3" x14ac:dyDescent="0.25">
      <c r="A148" s="296" t="s">
        <v>284</v>
      </c>
      <c r="B148" s="175">
        <v>5721</v>
      </c>
      <c r="C148" s="196">
        <v>0</v>
      </c>
    </row>
    <row r="149" spans="1:3" x14ac:dyDescent="0.25">
      <c r="A149" s="296" t="s">
        <v>148</v>
      </c>
      <c r="B149" s="175">
        <v>5484</v>
      </c>
      <c r="C149" s="196">
        <v>136100</v>
      </c>
    </row>
    <row r="150" spans="1:3" x14ac:dyDescent="0.25">
      <c r="A150" s="296" t="s">
        <v>185</v>
      </c>
      <c r="B150" s="175">
        <v>5541</v>
      </c>
      <c r="C150" s="196">
        <v>0</v>
      </c>
    </row>
    <row r="151" spans="1:3" x14ac:dyDescent="0.25">
      <c r="A151" s="296" t="s">
        <v>149</v>
      </c>
      <c r="B151" s="175">
        <v>5485</v>
      </c>
      <c r="C151" s="196">
        <v>0</v>
      </c>
    </row>
    <row r="152" spans="1:3" x14ac:dyDescent="0.25">
      <c r="A152" s="296" t="s">
        <v>331</v>
      </c>
      <c r="B152" s="175">
        <v>5817</v>
      </c>
      <c r="C152" s="196">
        <v>0</v>
      </c>
    </row>
    <row r="153" spans="1:3" x14ac:dyDescent="0.25">
      <c r="A153" s="296" t="s">
        <v>194</v>
      </c>
      <c r="B153" s="175">
        <v>5560</v>
      </c>
      <c r="C153" s="196">
        <v>0</v>
      </c>
    </row>
    <row r="154" spans="1:3" x14ac:dyDescent="0.25">
      <c r="A154" s="296" t="s">
        <v>195</v>
      </c>
      <c r="B154" s="175">
        <v>5561</v>
      </c>
      <c r="C154" s="196">
        <v>407600</v>
      </c>
    </row>
    <row r="155" spans="1:3" x14ac:dyDescent="0.25">
      <c r="A155" s="296" t="s">
        <v>285</v>
      </c>
      <c r="B155" s="175">
        <v>5722</v>
      </c>
      <c r="C155" s="196">
        <v>0</v>
      </c>
    </row>
    <row r="156" spans="1:3" x14ac:dyDescent="0.25">
      <c r="A156" s="296" t="s">
        <v>108</v>
      </c>
      <c r="B156" s="175">
        <v>5405</v>
      </c>
      <c r="C156" s="196">
        <v>128800</v>
      </c>
    </row>
    <row r="157" spans="1:3" x14ac:dyDescent="0.25">
      <c r="A157" s="296" t="s">
        <v>248</v>
      </c>
      <c r="B157" s="175">
        <v>5656</v>
      </c>
      <c r="C157" s="196">
        <v>157000</v>
      </c>
    </row>
    <row r="158" spans="1:3" x14ac:dyDescent="0.25">
      <c r="A158" s="296" t="s">
        <v>332</v>
      </c>
      <c r="B158" s="175">
        <v>5819</v>
      </c>
      <c r="C158" s="196">
        <v>0</v>
      </c>
    </row>
    <row r="159" spans="1:3" x14ac:dyDescent="0.25">
      <c r="A159" s="296" t="s">
        <v>254</v>
      </c>
      <c r="B159" s="175">
        <v>5673</v>
      </c>
      <c r="C159" s="196">
        <v>3700</v>
      </c>
    </row>
    <row r="160" spans="1:3" x14ac:dyDescent="0.25">
      <c r="A160" s="296" t="s">
        <v>359</v>
      </c>
      <c r="B160" s="175">
        <v>5885</v>
      </c>
      <c r="C160" s="196">
        <v>0</v>
      </c>
    </row>
    <row r="161" spans="1:3" x14ac:dyDescent="0.25">
      <c r="A161" s="296" t="s">
        <v>325</v>
      </c>
      <c r="B161" s="175">
        <v>5804</v>
      </c>
      <c r="C161" s="196">
        <v>113200</v>
      </c>
    </row>
    <row r="162" spans="1:3" x14ac:dyDescent="0.25">
      <c r="A162" s="296" t="s">
        <v>327</v>
      </c>
      <c r="B162" s="175">
        <v>5806</v>
      </c>
      <c r="C162" s="196">
        <v>136700</v>
      </c>
    </row>
    <row r="163" spans="1:3" x14ac:dyDescent="0.25">
      <c r="A163" s="296" t="s">
        <v>206</v>
      </c>
      <c r="B163" s="175">
        <v>5585</v>
      </c>
      <c r="C163" s="196">
        <v>0</v>
      </c>
    </row>
    <row r="164" spans="1:3" x14ac:dyDescent="0.25">
      <c r="A164" s="296" t="s">
        <v>306</v>
      </c>
      <c r="B164" s="175">
        <v>5754</v>
      </c>
      <c r="C164" s="196">
        <v>0</v>
      </c>
    </row>
    <row r="165" spans="1:3" x14ac:dyDescent="0.25">
      <c r="A165" s="296" t="s">
        <v>139</v>
      </c>
      <c r="B165" s="175">
        <v>5474</v>
      </c>
      <c r="C165" s="196">
        <v>40700</v>
      </c>
    </row>
    <row r="166" spans="1:3" x14ac:dyDescent="0.25">
      <c r="A166" s="296" t="s">
        <v>310</v>
      </c>
      <c r="B166" s="175">
        <v>5758</v>
      </c>
      <c r="C166" s="196">
        <v>0</v>
      </c>
    </row>
    <row r="167" spans="1:3" x14ac:dyDescent="0.25">
      <c r="A167" s="296" t="s">
        <v>288</v>
      </c>
      <c r="B167" s="175">
        <v>5726</v>
      </c>
      <c r="C167" s="196">
        <v>0</v>
      </c>
    </row>
    <row r="168" spans="1:3" x14ac:dyDescent="0.25">
      <c r="A168" s="296" t="s">
        <v>161</v>
      </c>
      <c r="B168" s="175">
        <v>5498</v>
      </c>
      <c r="C168" s="196">
        <v>39500</v>
      </c>
    </row>
    <row r="169" spans="1:3" x14ac:dyDescent="0.25">
      <c r="A169" s="296" t="s">
        <v>361</v>
      </c>
      <c r="B169" s="175">
        <v>5889</v>
      </c>
      <c r="C169" s="196">
        <v>0</v>
      </c>
    </row>
    <row r="170" spans="1:3" x14ac:dyDescent="0.25">
      <c r="A170" s="296" t="s">
        <v>353</v>
      </c>
      <c r="B170" s="175">
        <v>5871</v>
      </c>
      <c r="C170" s="196">
        <v>0</v>
      </c>
    </row>
    <row r="171" spans="1:3" x14ac:dyDescent="0.25">
      <c r="A171" s="296" t="s">
        <v>295</v>
      </c>
      <c r="B171" s="175">
        <v>5741</v>
      </c>
      <c r="C171" s="196">
        <v>15300</v>
      </c>
    </row>
    <row r="172" spans="1:3" x14ac:dyDescent="0.25">
      <c r="A172" s="296" t="s">
        <v>69</v>
      </c>
      <c r="B172" s="175">
        <v>5586</v>
      </c>
      <c r="C172" s="196">
        <v>0</v>
      </c>
    </row>
    <row r="173" spans="1:3" x14ac:dyDescent="0.25">
      <c r="A173" s="296" t="s">
        <v>109</v>
      </c>
      <c r="B173" s="175">
        <v>5406</v>
      </c>
      <c r="C173" s="196">
        <v>0</v>
      </c>
    </row>
    <row r="174" spans="1:3" x14ac:dyDescent="0.25">
      <c r="A174" s="296" t="s">
        <v>233</v>
      </c>
      <c r="B174" s="175">
        <v>5637</v>
      </c>
      <c r="C174" s="196">
        <v>400</v>
      </c>
    </row>
    <row r="175" spans="1:3" x14ac:dyDescent="0.25">
      <c r="A175" s="296" t="s">
        <v>354</v>
      </c>
      <c r="B175" s="175">
        <v>5872</v>
      </c>
      <c r="C175" s="196">
        <v>61200</v>
      </c>
    </row>
    <row r="176" spans="1:3" x14ac:dyDescent="0.25">
      <c r="A176" s="296" t="s">
        <v>355</v>
      </c>
      <c r="B176" s="175">
        <v>5873</v>
      </c>
      <c r="C176" s="196">
        <v>288100</v>
      </c>
    </row>
    <row r="177" spans="1:3" x14ac:dyDescent="0.25">
      <c r="A177" s="296" t="s">
        <v>70</v>
      </c>
      <c r="B177" s="175">
        <v>5587</v>
      </c>
      <c r="C177" s="196">
        <v>582300</v>
      </c>
    </row>
    <row r="178" spans="1:3" x14ac:dyDescent="0.25">
      <c r="A178" s="296" t="s">
        <v>293</v>
      </c>
      <c r="B178" s="175">
        <v>5731</v>
      </c>
      <c r="C178" s="196">
        <v>0</v>
      </c>
    </row>
    <row r="179" spans="1:3" x14ac:dyDescent="0.25">
      <c r="A179" s="296" t="s">
        <v>304</v>
      </c>
      <c r="B179" s="175">
        <v>5750</v>
      </c>
      <c r="C179" s="196">
        <v>0</v>
      </c>
    </row>
    <row r="180" spans="1:3" x14ac:dyDescent="0.25">
      <c r="A180" s="296" t="s">
        <v>110</v>
      </c>
      <c r="B180" s="175">
        <v>5407</v>
      </c>
      <c r="C180" s="196">
        <v>408800</v>
      </c>
    </row>
    <row r="181" spans="1:3" x14ac:dyDescent="0.25">
      <c r="A181" s="296" t="s">
        <v>307</v>
      </c>
      <c r="B181" s="175">
        <v>5755</v>
      </c>
      <c r="C181" s="196">
        <v>21900</v>
      </c>
    </row>
    <row r="182" spans="1:3" x14ac:dyDescent="0.25">
      <c r="A182" s="296" t="s">
        <v>150</v>
      </c>
      <c r="B182" s="175">
        <v>5486</v>
      </c>
      <c r="C182" s="196">
        <v>184600</v>
      </c>
    </row>
    <row r="183" spans="1:3" x14ac:dyDescent="0.25">
      <c r="A183" s="296" t="s">
        <v>234</v>
      </c>
      <c r="B183" s="175">
        <v>5638</v>
      </c>
      <c r="C183" s="196">
        <v>0</v>
      </c>
    </row>
    <row r="184" spans="1:3" x14ac:dyDescent="0.25">
      <c r="A184" s="296" t="s">
        <v>125</v>
      </c>
      <c r="B184" s="175">
        <v>5429</v>
      </c>
      <c r="C184" s="196">
        <v>0</v>
      </c>
    </row>
    <row r="185" spans="1:3" x14ac:dyDescent="0.25">
      <c r="A185" s="296" t="s">
        <v>255</v>
      </c>
      <c r="B185" s="175">
        <v>5674</v>
      </c>
      <c r="C185" s="196">
        <v>0</v>
      </c>
    </row>
    <row r="186" spans="1:3" x14ac:dyDescent="0.25">
      <c r="A186" s="296" t="s">
        <v>256</v>
      </c>
      <c r="B186" s="175">
        <v>5675</v>
      </c>
      <c r="C186" s="196">
        <v>0</v>
      </c>
    </row>
    <row r="187" spans="1:3" x14ac:dyDescent="0.25">
      <c r="A187" s="296" t="s">
        <v>347</v>
      </c>
      <c r="B187" s="175">
        <v>5858</v>
      </c>
      <c r="C187" s="196">
        <v>0</v>
      </c>
    </row>
    <row r="188" spans="1:3" x14ac:dyDescent="0.25">
      <c r="A188" s="296" t="s">
        <v>235</v>
      </c>
      <c r="B188" s="175">
        <v>5639</v>
      </c>
      <c r="C188" s="196">
        <v>0</v>
      </c>
    </row>
    <row r="189" spans="1:3" x14ac:dyDescent="0.25">
      <c r="A189" s="296" t="s">
        <v>151</v>
      </c>
      <c r="B189" s="175">
        <v>5487</v>
      </c>
      <c r="C189" s="196">
        <v>0</v>
      </c>
    </row>
    <row r="190" spans="1:3" x14ac:dyDescent="0.25">
      <c r="A190" s="296" t="s">
        <v>236</v>
      </c>
      <c r="B190" s="175">
        <v>5640</v>
      </c>
      <c r="C190" s="196">
        <v>0</v>
      </c>
    </row>
    <row r="191" spans="1:3" x14ac:dyDescent="0.25">
      <c r="A191" s="296" t="s">
        <v>214</v>
      </c>
      <c r="B191" s="175">
        <v>5606</v>
      </c>
      <c r="C191" s="196">
        <v>0</v>
      </c>
    </row>
    <row r="192" spans="1:3" x14ac:dyDescent="0.25">
      <c r="A192" s="296" t="s">
        <v>320</v>
      </c>
      <c r="B192" s="175">
        <v>5790</v>
      </c>
      <c r="C192" s="196">
        <v>1100</v>
      </c>
    </row>
    <row r="193" spans="1:3" x14ac:dyDescent="0.25">
      <c r="A193" s="296" t="s">
        <v>126</v>
      </c>
      <c r="B193" s="175">
        <v>5430</v>
      </c>
      <c r="C193" s="196">
        <v>0</v>
      </c>
    </row>
    <row r="194" spans="1:3" x14ac:dyDescent="0.25">
      <c r="A194" s="296" t="s">
        <v>377</v>
      </c>
      <c r="B194" s="175">
        <v>5919</v>
      </c>
      <c r="C194" s="196">
        <v>0</v>
      </c>
    </row>
    <row r="195" spans="1:3" x14ac:dyDescent="0.25">
      <c r="A195" s="296" t="s">
        <v>196</v>
      </c>
      <c r="B195" s="175">
        <v>5562</v>
      </c>
      <c r="C195" s="196">
        <v>0</v>
      </c>
    </row>
    <row r="196" spans="1:3" x14ac:dyDescent="0.25">
      <c r="A196" s="296" t="s">
        <v>152</v>
      </c>
      <c r="B196" s="175">
        <v>5488</v>
      </c>
      <c r="C196" s="196">
        <v>0</v>
      </c>
    </row>
    <row r="197" spans="1:3" x14ac:dyDescent="0.25">
      <c r="A197" s="296" t="s">
        <v>153</v>
      </c>
      <c r="B197" s="175">
        <v>5489</v>
      </c>
      <c r="C197" s="196">
        <v>0</v>
      </c>
    </row>
    <row r="198" spans="1:3" x14ac:dyDescent="0.25">
      <c r="A198" s="296" t="s">
        <v>286</v>
      </c>
      <c r="B198" s="175">
        <v>5723</v>
      </c>
      <c r="C198" s="196">
        <v>0</v>
      </c>
    </row>
    <row r="199" spans="1:3" x14ac:dyDescent="0.25">
      <c r="A199" s="296" t="s">
        <v>333</v>
      </c>
      <c r="B199" s="175">
        <v>5821</v>
      </c>
      <c r="C199" s="196">
        <v>0</v>
      </c>
    </row>
    <row r="200" spans="1:3" x14ac:dyDescent="0.25">
      <c r="A200" s="296" t="s">
        <v>154</v>
      </c>
      <c r="B200" s="175">
        <v>5490</v>
      </c>
      <c r="C200" s="196">
        <v>0</v>
      </c>
    </row>
    <row r="201" spans="1:3" x14ac:dyDescent="0.25">
      <c r="A201" s="296" t="s">
        <v>127</v>
      </c>
      <c r="B201" s="175">
        <v>5431</v>
      </c>
      <c r="C201" s="196">
        <v>0</v>
      </c>
    </row>
    <row r="202" spans="1:3" x14ac:dyDescent="0.25">
      <c r="A202" s="296" t="s">
        <v>378</v>
      </c>
      <c r="B202" s="175">
        <v>5921</v>
      </c>
      <c r="C202" s="196">
        <v>0</v>
      </c>
    </row>
    <row r="203" spans="1:3" x14ac:dyDescent="0.25">
      <c r="A203" s="296" t="s">
        <v>379</v>
      </c>
      <c r="B203" s="175">
        <v>5922</v>
      </c>
      <c r="C203" s="196">
        <v>0</v>
      </c>
    </row>
    <row r="204" spans="1:3" x14ac:dyDescent="0.25">
      <c r="A204" s="296" t="s">
        <v>264</v>
      </c>
      <c r="B204" s="175">
        <v>5693</v>
      </c>
      <c r="C204" s="196">
        <v>0</v>
      </c>
    </row>
    <row r="205" spans="1:3" x14ac:dyDescent="0.25">
      <c r="A205" s="296" t="s">
        <v>308</v>
      </c>
      <c r="B205" s="175">
        <v>5756</v>
      </c>
      <c r="C205" s="196">
        <v>0</v>
      </c>
    </row>
    <row r="206" spans="1:3" x14ac:dyDescent="0.25">
      <c r="A206" s="296" t="s">
        <v>184</v>
      </c>
      <c r="B206" s="175">
        <v>5540</v>
      </c>
      <c r="C206" s="196">
        <v>97100</v>
      </c>
    </row>
    <row r="207" spans="1:3" x14ac:dyDescent="0.25">
      <c r="A207" s="296" t="s">
        <v>155</v>
      </c>
      <c r="B207" s="175">
        <v>5491</v>
      </c>
      <c r="C207" s="196">
        <v>0</v>
      </c>
    </row>
    <row r="208" spans="1:3" x14ac:dyDescent="0.25">
      <c r="A208" s="296" t="s">
        <v>321</v>
      </c>
      <c r="B208" s="175">
        <v>5792</v>
      </c>
      <c r="C208" s="196">
        <v>64900</v>
      </c>
    </row>
    <row r="209" spans="1:3" x14ac:dyDescent="0.25">
      <c r="A209" s="296" t="s">
        <v>360</v>
      </c>
      <c r="B209" s="175">
        <v>5886</v>
      </c>
      <c r="C209" s="196">
        <v>0</v>
      </c>
    </row>
    <row r="210" spans="1:3" x14ac:dyDescent="0.25">
      <c r="A210" s="296" t="s">
        <v>156</v>
      </c>
      <c r="B210" s="175">
        <v>5492</v>
      </c>
      <c r="C210" s="196">
        <v>0</v>
      </c>
    </row>
    <row r="211" spans="1:3" x14ac:dyDescent="0.25">
      <c r="A211" s="296" t="s">
        <v>348</v>
      </c>
      <c r="B211" s="175">
        <v>5859</v>
      </c>
      <c r="C211" s="196">
        <v>0</v>
      </c>
    </row>
    <row r="212" spans="1:3" x14ac:dyDescent="0.25">
      <c r="A212" s="296" t="s">
        <v>67</v>
      </c>
      <c r="B212" s="175">
        <v>5642</v>
      </c>
      <c r="C212" s="196">
        <v>0</v>
      </c>
    </row>
    <row r="213" spans="1:3" x14ac:dyDescent="0.25">
      <c r="A213" s="296" t="s">
        <v>175</v>
      </c>
      <c r="B213" s="175">
        <v>5527</v>
      </c>
      <c r="C213" s="196">
        <v>0</v>
      </c>
    </row>
    <row r="214" spans="1:3" x14ac:dyDescent="0.25">
      <c r="A214" s="296" t="s">
        <v>257</v>
      </c>
      <c r="B214" s="175">
        <v>5678</v>
      </c>
      <c r="C214" s="196">
        <v>0</v>
      </c>
    </row>
    <row r="215" spans="1:3" x14ac:dyDescent="0.25">
      <c r="A215" s="296" t="s">
        <v>77</v>
      </c>
      <c r="B215" s="175">
        <v>5563</v>
      </c>
      <c r="C215" s="196">
        <v>0</v>
      </c>
    </row>
    <row r="216" spans="1:3" x14ac:dyDescent="0.25">
      <c r="A216" s="296" t="s">
        <v>197</v>
      </c>
      <c r="B216" s="175">
        <v>5564</v>
      </c>
      <c r="C216" s="196">
        <v>0</v>
      </c>
    </row>
    <row r="217" spans="1:3" x14ac:dyDescent="0.25">
      <c r="A217" s="296" t="s">
        <v>111</v>
      </c>
      <c r="B217" s="175">
        <v>5408</v>
      </c>
      <c r="C217" s="196">
        <v>24900</v>
      </c>
    </row>
    <row r="218" spans="1:3" x14ac:dyDescent="0.25">
      <c r="A218" s="296" t="s">
        <v>68</v>
      </c>
      <c r="B218" s="175">
        <v>5724</v>
      </c>
      <c r="C218" s="196">
        <v>0</v>
      </c>
    </row>
    <row r="219" spans="1:3" x14ac:dyDescent="0.25">
      <c r="A219" s="296" t="s">
        <v>258</v>
      </c>
      <c r="B219" s="175">
        <v>5680</v>
      </c>
      <c r="C219" s="196">
        <v>0</v>
      </c>
    </row>
    <row r="220" spans="1:3" x14ac:dyDescent="0.25">
      <c r="A220" s="296" t="s">
        <v>112</v>
      </c>
      <c r="B220" s="175">
        <v>5409</v>
      </c>
      <c r="C220" s="196">
        <v>0</v>
      </c>
    </row>
    <row r="221" spans="1:3" x14ac:dyDescent="0.25">
      <c r="A221" s="296" t="s">
        <v>198</v>
      </c>
      <c r="B221" s="175">
        <v>5565</v>
      </c>
      <c r="C221" s="196">
        <v>0</v>
      </c>
    </row>
    <row r="222" spans="1:3" x14ac:dyDescent="0.25">
      <c r="A222" s="296" t="s">
        <v>380</v>
      </c>
      <c r="B222" s="175">
        <v>5923</v>
      </c>
      <c r="C222" s="196">
        <v>14600</v>
      </c>
    </row>
    <row r="223" spans="1:3" x14ac:dyDescent="0.25">
      <c r="A223" s="296" t="s">
        <v>309</v>
      </c>
      <c r="B223" s="175">
        <v>5757</v>
      </c>
      <c r="C223" s="196">
        <v>1030500</v>
      </c>
    </row>
    <row r="224" spans="1:3" x14ac:dyDescent="0.25">
      <c r="A224" s="296" t="s">
        <v>381</v>
      </c>
      <c r="B224" s="175">
        <v>5924</v>
      </c>
      <c r="C224" s="196">
        <v>0</v>
      </c>
    </row>
    <row r="225" spans="1:3" x14ac:dyDescent="0.25">
      <c r="A225" s="296" t="s">
        <v>113</v>
      </c>
      <c r="B225" s="175">
        <v>5410</v>
      </c>
      <c r="C225" s="196">
        <v>0</v>
      </c>
    </row>
    <row r="226" spans="1:3" x14ac:dyDescent="0.25">
      <c r="A226" s="296" t="s">
        <v>114</v>
      </c>
      <c r="B226" s="175">
        <v>5411</v>
      </c>
      <c r="C226" s="196">
        <v>0</v>
      </c>
    </row>
    <row r="227" spans="1:3" x14ac:dyDescent="0.25">
      <c r="A227" s="296" t="s">
        <v>157</v>
      </c>
      <c r="B227" s="175">
        <v>5493</v>
      </c>
      <c r="C227" s="196">
        <v>0</v>
      </c>
    </row>
    <row r="228" spans="1:3" x14ac:dyDescent="0.25">
      <c r="A228" s="296" t="s">
        <v>326</v>
      </c>
      <c r="B228" s="175">
        <v>5805</v>
      </c>
      <c r="C228" s="196">
        <v>25500</v>
      </c>
    </row>
    <row r="229" spans="1:3" x14ac:dyDescent="0.25">
      <c r="A229" s="296" t="s">
        <v>382</v>
      </c>
      <c r="B229" s="175">
        <v>5925</v>
      </c>
      <c r="C229" s="196">
        <v>0</v>
      </c>
    </row>
    <row r="230" spans="1:3" x14ac:dyDescent="0.25">
      <c r="A230" s="296" t="s">
        <v>176</v>
      </c>
      <c r="B230" s="175">
        <v>5529</v>
      </c>
      <c r="C230" s="196">
        <v>0</v>
      </c>
    </row>
    <row r="231" spans="1:3" x14ac:dyDescent="0.25">
      <c r="A231" s="296" t="s">
        <v>177</v>
      </c>
      <c r="B231" s="175">
        <v>5530</v>
      </c>
      <c r="C231" s="196">
        <v>184300</v>
      </c>
    </row>
    <row r="232" spans="1:3" x14ac:dyDescent="0.25">
      <c r="A232" s="296" t="s">
        <v>207</v>
      </c>
      <c r="B232" s="175">
        <v>5588</v>
      </c>
      <c r="C232" s="196">
        <v>0</v>
      </c>
    </row>
    <row r="233" spans="1:3" x14ac:dyDescent="0.25">
      <c r="A233" s="296" t="s">
        <v>104</v>
      </c>
      <c r="B233" s="175">
        <v>5822</v>
      </c>
      <c r="C233" s="196">
        <v>0</v>
      </c>
    </row>
    <row r="234" spans="1:3" x14ac:dyDescent="0.25">
      <c r="A234" s="296" t="s">
        <v>158</v>
      </c>
      <c r="B234" s="175">
        <v>5495</v>
      </c>
      <c r="C234" s="196">
        <v>179200</v>
      </c>
    </row>
    <row r="235" spans="1:3" x14ac:dyDescent="0.25">
      <c r="A235" s="296" t="s">
        <v>159</v>
      </c>
      <c r="B235" s="175">
        <v>5496</v>
      </c>
      <c r="C235" s="196">
        <v>0</v>
      </c>
    </row>
    <row r="236" spans="1:3" x14ac:dyDescent="0.25">
      <c r="A236" s="296" t="s">
        <v>178</v>
      </c>
      <c r="B236" s="175">
        <v>5531</v>
      </c>
      <c r="C236" s="196">
        <v>0</v>
      </c>
    </row>
    <row r="237" spans="1:3" x14ac:dyDescent="0.25">
      <c r="A237" s="296" t="s">
        <v>349</v>
      </c>
      <c r="B237" s="175">
        <v>5860</v>
      </c>
      <c r="C237" s="196">
        <v>0</v>
      </c>
    </row>
    <row r="238" spans="1:3" x14ac:dyDescent="0.25">
      <c r="A238" s="296" t="s">
        <v>179</v>
      </c>
      <c r="B238" s="175">
        <v>5533</v>
      </c>
      <c r="C238" s="196">
        <v>0</v>
      </c>
    </row>
    <row r="239" spans="1:3" x14ac:dyDescent="0.25">
      <c r="A239" s="296" t="s">
        <v>160</v>
      </c>
      <c r="B239" s="175">
        <v>5497</v>
      </c>
      <c r="C239" s="196">
        <v>0</v>
      </c>
    </row>
    <row r="240" spans="1:3" x14ac:dyDescent="0.25">
      <c r="A240" s="296" t="s">
        <v>383</v>
      </c>
      <c r="B240" s="175">
        <v>5926</v>
      </c>
      <c r="C240" s="196">
        <v>0</v>
      </c>
    </row>
    <row r="241" spans="1:3" x14ac:dyDescent="0.25">
      <c r="A241" s="296" t="s">
        <v>287</v>
      </c>
      <c r="B241" s="175">
        <v>5725</v>
      </c>
      <c r="C241" s="196">
        <v>0</v>
      </c>
    </row>
    <row r="242" spans="1:3" x14ac:dyDescent="0.25">
      <c r="A242" s="296" t="s">
        <v>311</v>
      </c>
      <c r="B242" s="175">
        <v>5759</v>
      </c>
      <c r="C242" s="196">
        <v>0</v>
      </c>
    </row>
    <row r="243" spans="1:3" x14ac:dyDescent="0.25">
      <c r="A243" s="296" t="s">
        <v>237</v>
      </c>
      <c r="B243" s="175">
        <v>5643</v>
      </c>
      <c r="C243" s="196">
        <v>0</v>
      </c>
    </row>
    <row r="244" spans="1:3" x14ac:dyDescent="0.25">
      <c r="A244" s="296" t="s">
        <v>259</v>
      </c>
      <c r="B244" s="175">
        <v>5683</v>
      </c>
      <c r="C244" s="196">
        <v>0</v>
      </c>
    </row>
    <row r="245" spans="1:3" x14ac:dyDescent="0.25">
      <c r="A245" s="296" t="s">
        <v>208</v>
      </c>
      <c r="B245" s="175">
        <v>5589</v>
      </c>
      <c r="C245" s="196">
        <v>14300</v>
      </c>
    </row>
    <row r="246" spans="1:3" x14ac:dyDescent="0.25">
      <c r="A246" s="296" t="s">
        <v>199</v>
      </c>
      <c r="B246" s="175">
        <v>5566</v>
      </c>
      <c r="C246" s="196">
        <v>0</v>
      </c>
    </row>
    <row r="247" spans="1:3" x14ac:dyDescent="0.25">
      <c r="A247" s="296" t="s">
        <v>215</v>
      </c>
      <c r="B247" s="175">
        <v>5607</v>
      </c>
      <c r="C247" s="196">
        <v>262100</v>
      </c>
    </row>
    <row r="248" spans="1:3" x14ac:dyDescent="0.25">
      <c r="A248" s="296" t="s">
        <v>209</v>
      </c>
      <c r="B248" s="175">
        <v>5590</v>
      </c>
      <c r="C248" s="196">
        <v>0</v>
      </c>
    </row>
    <row r="249" spans="1:3" x14ac:dyDescent="0.25">
      <c r="A249" s="296" t="s">
        <v>312</v>
      </c>
      <c r="B249" s="175">
        <v>5760</v>
      </c>
      <c r="C249" s="196">
        <v>19400</v>
      </c>
    </row>
    <row r="250" spans="1:3" x14ac:dyDescent="0.25">
      <c r="A250" s="296" t="s">
        <v>210</v>
      </c>
      <c r="B250" s="175">
        <v>5591</v>
      </c>
      <c r="C250" s="196">
        <v>86300</v>
      </c>
    </row>
    <row r="251" spans="1:3" x14ac:dyDescent="0.25">
      <c r="A251" s="296" t="s">
        <v>115</v>
      </c>
      <c r="B251" s="175">
        <v>5412</v>
      </c>
      <c r="C251" s="196">
        <v>0</v>
      </c>
    </row>
    <row r="252" spans="1:3" x14ac:dyDescent="0.25">
      <c r="A252" s="296" t="s">
        <v>216</v>
      </c>
      <c r="B252" s="175">
        <v>5609</v>
      </c>
      <c r="C252" s="196">
        <v>0</v>
      </c>
    </row>
    <row r="253" spans="1:3" x14ac:dyDescent="0.25">
      <c r="A253" s="296" t="s">
        <v>116</v>
      </c>
      <c r="B253" s="175">
        <v>5413</v>
      </c>
      <c r="C253" s="196">
        <v>0</v>
      </c>
    </row>
    <row r="254" spans="1:3" x14ac:dyDescent="0.25">
      <c r="A254" s="296" t="s">
        <v>350</v>
      </c>
      <c r="B254" s="175">
        <v>5861</v>
      </c>
      <c r="C254" s="196">
        <v>0</v>
      </c>
    </row>
    <row r="255" spans="1:3" x14ac:dyDescent="0.25">
      <c r="A255" s="296" t="s">
        <v>313</v>
      </c>
      <c r="B255" s="175">
        <v>5761</v>
      </c>
      <c r="C255" s="196">
        <v>59400</v>
      </c>
    </row>
    <row r="256" spans="1:3" x14ac:dyDescent="0.25">
      <c r="A256" s="296" t="s">
        <v>211</v>
      </c>
      <c r="B256" s="175">
        <v>5592</v>
      </c>
      <c r="C256" s="196">
        <v>0</v>
      </c>
    </row>
    <row r="257" spans="1:3" x14ac:dyDescent="0.25">
      <c r="A257" s="296" t="s">
        <v>238</v>
      </c>
      <c r="B257" s="175">
        <v>5645</v>
      </c>
      <c r="C257" s="196">
        <v>0</v>
      </c>
    </row>
    <row r="258" spans="1:3" x14ac:dyDescent="0.25">
      <c r="A258" s="296" t="s">
        <v>322</v>
      </c>
      <c r="B258" s="175">
        <v>5798</v>
      </c>
      <c r="C258" s="196">
        <v>0</v>
      </c>
    </row>
    <row r="259" spans="1:3" x14ac:dyDescent="0.25">
      <c r="A259" s="296" t="s">
        <v>260</v>
      </c>
      <c r="B259" s="175">
        <v>5684</v>
      </c>
      <c r="C259" s="196">
        <v>0</v>
      </c>
    </row>
    <row r="260" spans="1:3" x14ac:dyDescent="0.25">
      <c r="A260" s="296" t="s">
        <v>338</v>
      </c>
      <c r="B260" s="175">
        <v>5842</v>
      </c>
      <c r="C260" s="196">
        <v>0</v>
      </c>
    </row>
    <row r="261" spans="1:3" x14ac:dyDescent="0.25">
      <c r="A261" s="296" t="s">
        <v>339</v>
      </c>
      <c r="B261" s="175">
        <v>5843</v>
      </c>
      <c r="C261" s="196">
        <v>0</v>
      </c>
    </row>
    <row r="262" spans="1:3" x14ac:dyDescent="0.25">
      <c r="A262" s="296" t="s">
        <v>384</v>
      </c>
      <c r="B262" s="175">
        <v>5928</v>
      </c>
      <c r="C262" s="196">
        <v>0</v>
      </c>
    </row>
    <row r="263" spans="1:3" x14ac:dyDescent="0.25">
      <c r="A263" s="296" t="s">
        <v>180</v>
      </c>
      <c r="B263" s="175">
        <v>5534</v>
      </c>
      <c r="C263" s="196">
        <v>0</v>
      </c>
    </row>
    <row r="264" spans="1:3" x14ac:dyDescent="0.25">
      <c r="A264" s="296" t="s">
        <v>181</v>
      </c>
      <c r="B264" s="175">
        <v>5535</v>
      </c>
      <c r="C264" s="196">
        <v>0</v>
      </c>
    </row>
    <row r="265" spans="1:3" x14ac:dyDescent="0.25">
      <c r="A265" s="296" t="s">
        <v>289</v>
      </c>
      <c r="B265" s="175">
        <v>5727</v>
      </c>
      <c r="C265" s="196">
        <v>0</v>
      </c>
    </row>
    <row r="266" spans="1:3" x14ac:dyDescent="0.25">
      <c r="A266" s="296" t="s">
        <v>200</v>
      </c>
      <c r="B266" s="175">
        <v>5568</v>
      </c>
      <c r="C266" s="196">
        <v>0</v>
      </c>
    </row>
    <row r="267" spans="1:3" x14ac:dyDescent="0.25">
      <c r="A267" s="296" t="s">
        <v>128</v>
      </c>
      <c r="B267" s="175">
        <v>5434</v>
      </c>
      <c r="C267" s="196">
        <v>0</v>
      </c>
    </row>
    <row r="268" spans="1:3" x14ac:dyDescent="0.25">
      <c r="A268" s="296" t="s">
        <v>129</v>
      </c>
      <c r="B268" s="175">
        <v>5435</v>
      </c>
      <c r="C268" s="196">
        <v>0</v>
      </c>
    </row>
    <row r="269" spans="1:3" x14ac:dyDescent="0.25">
      <c r="A269" s="296" t="s">
        <v>130</v>
      </c>
      <c r="B269" s="175">
        <v>5436</v>
      </c>
      <c r="C269" s="196">
        <v>0</v>
      </c>
    </row>
    <row r="270" spans="1:3" x14ac:dyDescent="0.25">
      <c r="A270" s="296" t="s">
        <v>239</v>
      </c>
      <c r="B270" s="175">
        <v>5646</v>
      </c>
      <c r="C270" s="196">
        <v>0</v>
      </c>
    </row>
    <row r="271" spans="1:3" x14ac:dyDescent="0.25">
      <c r="A271" s="296" t="s">
        <v>240</v>
      </c>
      <c r="B271" s="175">
        <v>5648</v>
      </c>
      <c r="C271" s="196">
        <v>0</v>
      </c>
    </row>
    <row r="272" spans="1:3" x14ac:dyDescent="0.25">
      <c r="A272" s="296" t="s">
        <v>131</v>
      </c>
      <c r="B272" s="175">
        <v>5437</v>
      </c>
      <c r="C272" s="196">
        <v>29100</v>
      </c>
    </row>
    <row r="273" spans="1:3" x14ac:dyDescent="0.25">
      <c r="A273" s="296" t="s">
        <v>218</v>
      </c>
      <c r="B273" s="175">
        <v>5611</v>
      </c>
      <c r="C273" s="196">
        <v>0</v>
      </c>
    </row>
    <row r="274" spans="1:3" x14ac:dyDescent="0.25">
      <c r="A274" s="296" t="s">
        <v>162</v>
      </c>
      <c r="B274" s="175">
        <v>5499</v>
      </c>
      <c r="C274" s="196">
        <v>0</v>
      </c>
    </row>
    <row r="275" spans="1:3" x14ac:dyDescent="0.25">
      <c r="A275" s="296" t="s">
        <v>314</v>
      </c>
      <c r="B275" s="175">
        <v>5762</v>
      </c>
      <c r="C275" s="196">
        <v>9200</v>
      </c>
    </row>
    <row r="276" spans="1:3" x14ac:dyDescent="0.25">
      <c r="A276" s="296" t="s">
        <v>323</v>
      </c>
      <c r="B276" s="175">
        <v>5799</v>
      </c>
      <c r="C276" s="196">
        <v>0</v>
      </c>
    </row>
    <row r="277" spans="1:3" x14ac:dyDescent="0.25">
      <c r="A277" s="296" t="s">
        <v>290</v>
      </c>
      <c r="B277" s="175">
        <v>5728</v>
      </c>
      <c r="C277" s="196">
        <v>0</v>
      </c>
    </row>
    <row r="278" spans="1:3" x14ac:dyDescent="0.25">
      <c r="A278" s="296" t="s">
        <v>217</v>
      </c>
      <c r="B278" s="175">
        <v>5610</v>
      </c>
      <c r="C278" s="196">
        <v>5300</v>
      </c>
    </row>
    <row r="279" spans="1:3" x14ac:dyDescent="0.25">
      <c r="A279" s="296" t="s">
        <v>385</v>
      </c>
      <c r="B279" s="175">
        <v>5929</v>
      </c>
      <c r="C279" s="196">
        <v>0</v>
      </c>
    </row>
    <row r="280" spans="1:3" x14ac:dyDescent="0.25">
      <c r="A280" s="296" t="s">
        <v>163</v>
      </c>
      <c r="B280" s="175">
        <v>5501</v>
      </c>
      <c r="C280" s="196">
        <v>0</v>
      </c>
    </row>
    <row r="281" spans="1:3" x14ac:dyDescent="0.25">
      <c r="A281" s="296" t="s">
        <v>386</v>
      </c>
      <c r="B281" s="175">
        <v>5930</v>
      </c>
      <c r="C281" s="196">
        <v>0</v>
      </c>
    </row>
    <row r="282" spans="1:3" x14ac:dyDescent="0.25">
      <c r="A282" s="296" t="s">
        <v>261</v>
      </c>
      <c r="B282" s="175">
        <v>5688</v>
      </c>
      <c r="C282" s="196">
        <v>0</v>
      </c>
    </row>
    <row r="283" spans="1:3" x14ac:dyDescent="0.25">
      <c r="A283" s="296" t="s">
        <v>291</v>
      </c>
      <c r="B283" s="175">
        <v>5729</v>
      </c>
      <c r="C283" s="196">
        <v>0</v>
      </c>
    </row>
    <row r="284" spans="1:3" x14ac:dyDescent="0.25">
      <c r="A284" s="296" t="s">
        <v>351</v>
      </c>
      <c r="B284" s="175">
        <v>5862</v>
      </c>
      <c r="C284" s="196">
        <v>0</v>
      </c>
    </row>
    <row r="285" spans="1:3" x14ac:dyDescent="0.25">
      <c r="A285" s="296" t="s">
        <v>201</v>
      </c>
      <c r="B285" s="175">
        <v>5571</v>
      </c>
      <c r="C285" s="196">
        <v>0</v>
      </c>
    </row>
    <row r="286" spans="1:3" x14ac:dyDescent="0.25">
      <c r="A286" s="296" t="s">
        <v>241</v>
      </c>
      <c r="B286" s="175">
        <v>5649</v>
      </c>
      <c r="C286" s="196">
        <v>0</v>
      </c>
    </row>
    <row r="287" spans="1:3" x14ac:dyDescent="0.25">
      <c r="A287" s="296" t="s">
        <v>292</v>
      </c>
      <c r="B287" s="175">
        <v>5730</v>
      </c>
      <c r="C287" s="196">
        <v>14300</v>
      </c>
    </row>
    <row r="288" spans="1:3" x14ac:dyDescent="0.25">
      <c r="A288" s="296" t="s">
        <v>334</v>
      </c>
      <c r="B288" s="175">
        <v>5827</v>
      </c>
      <c r="C288" s="196">
        <v>13300</v>
      </c>
    </row>
    <row r="289" spans="1:3" x14ac:dyDescent="0.25">
      <c r="A289" s="296" t="s">
        <v>387</v>
      </c>
      <c r="B289" s="175">
        <v>5931</v>
      </c>
      <c r="C289" s="196">
        <v>0</v>
      </c>
    </row>
    <row r="290" spans="1:3" x14ac:dyDescent="0.25">
      <c r="A290" s="296" t="s">
        <v>335</v>
      </c>
      <c r="B290" s="175">
        <v>5828</v>
      </c>
      <c r="C290" s="196">
        <v>10100</v>
      </c>
    </row>
    <row r="291" spans="1:3" x14ac:dyDescent="0.25">
      <c r="A291" s="296" t="s">
        <v>102</v>
      </c>
      <c r="B291" s="175">
        <v>5932</v>
      </c>
      <c r="C291" s="196">
        <v>0</v>
      </c>
    </row>
    <row r="292" spans="1:3" x14ac:dyDescent="0.25">
      <c r="A292" s="296" t="s">
        <v>337</v>
      </c>
      <c r="B292" s="175">
        <v>5831</v>
      </c>
      <c r="C292" s="196">
        <v>354600</v>
      </c>
    </row>
    <row r="293" spans="1:3" x14ac:dyDescent="0.25">
      <c r="A293" s="296" t="s">
        <v>388</v>
      </c>
      <c r="B293" s="175">
        <v>5933</v>
      </c>
      <c r="C293" s="196">
        <v>102900</v>
      </c>
    </row>
    <row r="294" spans="1:3" x14ac:dyDescent="0.25">
      <c r="A294" s="296" t="s">
        <v>315</v>
      </c>
      <c r="B294" s="175">
        <v>5763</v>
      </c>
      <c r="C294" s="196">
        <v>0</v>
      </c>
    </row>
    <row r="295" spans="1:3" x14ac:dyDescent="0.25">
      <c r="A295" s="296" t="s">
        <v>389</v>
      </c>
      <c r="B295" s="175">
        <v>5934</v>
      </c>
      <c r="C295" s="196">
        <v>0</v>
      </c>
    </row>
    <row r="296" spans="1:3" x14ac:dyDescent="0.25">
      <c r="A296" s="296" t="s">
        <v>316</v>
      </c>
      <c r="B296" s="175">
        <v>5764</v>
      </c>
      <c r="C296" s="196">
        <v>347600</v>
      </c>
    </row>
    <row r="297" spans="1:3" x14ac:dyDescent="0.25">
      <c r="A297" s="296" t="s">
        <v>317</v>
      </c>
      <c r="B297" s="175">
        <v>5765</v>
      </c>
      <c r="C297" s="196">
        <v>0</v>
      </c>
    </row>
    <row r="298" spans="1:3" x14ac:dyDescent="0.25">
      <c r="A298" s="296" t="s">
        <v>242</v>
      </c>
      <c r="B298" s="175">
        <v>5650</v>
      </c>
      <c r="C298" s="196">
        <v>172200</v>
      </c>
    </row>
    <row r="299" spans="1:3" x14ac:dyDescent="0.25">
      <c r="A299" s="296" t="s">
        <v>362</v>
      </c>
      <c r="B299" s="175">
        <v>5890</v>
      </c>
      <c r="C299" s="196">
        <v>0</v>
      </c>
    </row>
    <row r="300" spans="1:3" x14ac:dyDescent="0.25">
      <c r="A300" s="296" t="s">
        <v>363</v>
      </c>
      <c r="B300" s="175">
        <v>5891</v>
      </c>
      <c r="C300" s="196">
        <v>254100</v>
      </c>
    </row>
    <row r="301" spans="1:3" x14ac:dyDescent="0.25">
      <c r="A301" s="296" t="s">
        <v>294</v>
      </c>
      <c r="B301" s="175">
        <v>5732</v>
      </c>
      <c r="C301" s="196">
        <v>0</v>
      </c>
    </row>
    <row r="302" spans="1:3" x14ac:dyDescent="0.25">
      <c r="A302" s="296" t="s">
        <v>390</v>
      </c>
      <c r="B302" s="175">
        <v>5935</v>
      </c>
      <c r="C302" s="196">
        <v>0</v>
      </c>
    </row>
    <row r="303" spans="1:3" x14ac:dyDescent="0.25">
      <c r="A303" s="296" t="s">
        <v>262</v>
      </c>
      <c r="B303" s="175">
        <v>5690</v>
      </c>
      <c r="C303" s="196">
        <v>0</v>
      </c>
    </row>
    <row r="304" spans="1:3" x14ac:dyDescent="0.25">
      <c r="A304" s="296" t="s">
        <v>182</v>
      </c>
      <c r="B304" s="175">
        <v>5537</v>
      </c>
      <c r="C304" s="196">
        <v>0</v>
      </c>
    </row>
    <row r="305" spans="1:3" x14ac:dyDescent="0.25">
      <c r="A305" s="296" t="s">
        <v>243</v>
      </c>
      <c r="B305" s="175">
        <v>5651</v>
      </c>
      <c r="C305" s="196">
        <v>0</v>
      </c>
    </row>
    <row r="306" spans="1:3" x14ac:dyDescent="0.25">
      <c r="A306" s="296" t="s">
        <v>244</v>
      </c>
      <c r="B306" s="175">
        <v>5652</v>
      </c>
      <c r="C306" s="196">
        <v>0</v>
      </c>
    </row>
    <row r="307" spans="1:3" x14ac:dyDescent="0.25">
      <c r="A307" s="296" t="s">
        <v>336</v>
      </c>
      <c r="B307" s="175">
        <v>5830</v>
      </c>
      <c r="C307" s="196">
        <v>7700</v>
      </c>
    </row>
    <row r="308" spans="1:3" x14ac:dyDescent="0.25">
      <c r="A308" s="296" t="s">
        <v>117</v>
      </c>
      <c r="B308" s="175">
        <v>5414</v>
      </c>
      <c r="C308" s="196">
        <v>465800</v>
      </c>
    </row>
    <row r="309" spans="1:3" x14ac:dyDescent="0.25">
      <c r="A309" s="296" t="s">
        <v>352</v>
      </c>
      <c r="B309" s="175">
        <v>5863</v>
      </c>
      <c r="C309" s="196">
        <v>0</v>
      </c>
    </row>
    <row r="310" spans="1:3" x14ac:dyDescent="0.25">
      <c r="A310" s="296" t="s">
        <v>183</v>
      </c>
      <c r="B310" s="175">
        <v>5539</v>
      </c>
      <c r="C310" s="196">
        <v>0</v>
      </c>
    </row>
    <row r="311" spans="1:3" x14ac:dyDescent="0.25">
      <c r="A311" s="296" t="s">
        <v>263</v>
      </c>
      <c r="B311" s="175">
        <v>5692</v>
      </c>
      <c r="C311" s="196">
        <v>0</v>
      </c>
    </row>
    <row r="312" spans="1:3" x14ac:dyDescent="0.25">
      <c r="A312" s="296" t="s">
        <v>164</v>
      </c>
      <c r="B312" s="175">
        <v>5503</v>
      </c>
      <c r="C312" s="196">
        <v>0</v>
      </c>
    </row>
    <row r="313" spans="1:3" x14ac:dyDescent="0.25">
      <c r="A313" s="296" t="s">
        <v>245</v>
      </c>
      <c r="B313" s="175">
        <v>5653</v>
      </c>
      <c r="C313" s="196">
        <v>0</v>
      </c>
    </row>
    <row r="314" spans="1:3" x14ac:dyDescent="0.25">
      <c r="A314" s="296" t="s">
        <v>391</v>
      </c>
      <c r="B314" s="175">
        <v>5937</v>
      </c>
      <c r="C314" s="196">
        <v>0</v>
      </c>
    </row>
    <row r="315" spans="1:3" x14ac:dyDescent="0.25">
      <c r="A315" s="296" t="s">
        <v>318</v>
      </c>
      <c r="B315" s="175">
        <v>5766</v>
      </c>
      <c r="C315" s="196">
        <v>48600</v>
      </c>
    </row>
    <row r="316" spans="1:3" x14ac:dyDescent="0.25">
      <c r="A316" s="296" t="s">
        <v>324</v>
      </c>
      <c r="B316" s="175">
        <v>5803</v>
      </c>
      <c r="C316" s="196">
        <v>0</v>
      </c>
    </row>
    <row r="317" spans="1:3" x14ac:dyDescent="0.25">
      <c r="A317" s="296" t="s">
        <v>246</v>
      </c>
      <c r="B317" s="175">
        <v>5654</v>
      </c>
      <c r="C317" s="196">
        <v>0</v>
      </c>
    </row>
    <row r="318" spans="1:3" x14ac:dyDescent="0.25">
      <c r="A318" s="296" t="s">
        <v>135</v>
      </c>
      <c r="B318" s="175">
        <v>5464</v>
      </c>
      <c r="C318" s="196">
        <v>0</v>
      </c>
    </row>
    <row r="319" spans="1:3" x14ac:dyDescent="0.25">
      <c r="A319" s="296" t="s">
        <v>247</v>
      </c>
      <c r="B319" s="175">
        <v>5655</v>
      </c>
      <c r="C319" s="196">
        <v>0</v>
      </c>
    </row>
    <row r="320" spans="1:3" x14ac:dyDescent="0.25">
      <c r="A320" s="296" t="s">
        <v>103</v>
      </c>
      <c r="B320" s="175">
        <v>5938</v>
      </c>
      <c r="C320" s="196">
        <v>0</v>
      </c>
    </row>
    <row r="321" spans="1:3" x14ac:dyDescent="0.25">
      <c r="A321" s="296" t="s">
        <v>392</v>
      </c>
      <c r="B321" s="175">
        <v>5939</v>
      </c>
      <c r="C321" s="196">
        <v>0</v>
      </c>
    </row>
    <row r="322" spans="1:3" x14ac:dyDescent="0.25">
      <c r="A322" s="296" t="s">
        <v>118</v>
      </c>
      <c r="B322" s="175">
        <v>5415</v>
      </c>
      <c r="C322" s="196">
        <v>121100</v>
      </c>
    </row>
  </sheetData>
  <sheetProtection sheet="1" objects="1" scenarios="1"/>
  <sortState xmlns:xlrd2="http://schemas.microsoft.com/office/spreadsheetml/2017/richdata2" ref="A23:A322">
    <sortCondition ref="A23:A322"/>
  </sortState>
  <mergeCells count="66">
    <mergeCell ref="N20:U20"/>
    <mergeCell ref="E19:F19"/>
    <mergeCell ref="A19:B19"/>
    <mergeCell ref="N13:N14"/>
    <mergeCell ref="O13:O14"/>
    <mergeCell ref="P13:P14"/>
    <mergeCell ref="Q13:Q14"/>
    <mergeCell ref="A15:C15"/>
    <mergeCell ref="A16:B16"/>
    <mergeCell ref="A17:B17"/>
    <mergeCell ref="A18:B18"/>
    <mergeCell ref="E16:G16"/>
    <mergeCell ref="E17:F17"/>
    <mergeCell ref="E18:F18"/>
    <mergeCell ref="N19:U19"/>
    <mergeCell ref="R13:R14"/>
    <mergeCell ref="A4:C4"/>
    <mergeCell ref="E4:G4"/>
    <mergeCell ref="E5:F5"/>
    <mergeCell ref="A5:B5"/>
    <mergeCell ref="A12:B12"/>
    <mergeCell ref="A11:B11"/>
    <mergeCell ref="E8:F8"/>
    <mergeCell ref="E11:F11"/>
    <mergeCell ref="E12:F12"/>
    <mergeCell ref="E10:F10"/>
    <mergeCell ref="E9:F9"/>
    <mergeCell ref="A9:B10"/>
    <mergeCell ref="C9:C10"/>
    <mergeCell ref="S5:T5"/>
    <mergeCell ref="I5:J5"/>
    <mergeCell ref="A6:B6"/>
    <mergeCell ref="E6:F6"/>
    <mergeCell ref="N17:U17"/>
    <mergeCell ref="A7:B8"/>
    <mergeCell ref="C7:C8"/>
    <mergeCell ref="E14:F14"/>
    <mergeCell ref="E13:F13"/>
    <mergeCell ref="A13:B13"/>
    <mergeCell ref="I19:J19"/>
    <mergeCell ref="I18:J18"/>
    <mergeCell ref="P6:Q6"/>
    <mergeCell ref="I9:J9"/>
    <mergeCell ref="I10:J10"/>
    <mergeCell ref="I15:K15"/>
    <mergeCell ref="M13:M14"/>
    <mergeCell ref="I16:J16"/>
    <mergeCell ref="I6:J6"/>
    <mergeCell ref="I7:J7"/>
    <mergeCell ref="I8:J8"/>
    <mergeCell ref="D1:E1"/>
    <mergeCell ref="N16:U16"/>
    <mergeCell ref="N18:U18"/>
    <mergeCell ref="P12:Q12"/>
    <mergeCell ref="M7:U7"/>
    <mergeCell ref="M8:U8"/>
    <mergeCell ref="E7:G7"/>
    <mergeCell ref="I12:J12"/>
    <mergeCell ref="P11:Q11"/>
    <mergeCell ref="I1:J1"/>
    <mergeCell ref="I17:J17"/>
    <mergeCell ref="S4:U4"/>
    <mergeCell ref="I4:K4"/>
    <mergeCell ref="S13:S14"/>
    <mergeCell ref="T13:T14"/>
    <mergeCell ref="U13:U14"/>
  </mergeCells>
  <conditionalFormatting sqref="Q5">
    <cfRule type="cellIs" dxfId="47" priority="1" operator="lessThan">
      <formula>0</formula>
    </cfRule>
  </conditionalFormatting>
  <dataValidations count="1">
    <dataValidation type="list" allowBlank="1" showInputMessage="1" showErrorMessage="1" sqref="M5" xr:uid="{A889782E-750A-4C2F-9F93-76E5BEF0A567}">
      <formula1>"Décompte prévisionnel, Décompte final"</formula1>
    </dataValidation>
  </dataValidations>
  <hyperlinks>
    <hyperlink ref="B1:C1" location="'Table des matières'!A1" display="← Précédent" xr:uid="{CAA68179-46C2-414B-9512-D6C8A566612C}"/>
    <hyperlink ref="D1" location="Données!A1" display="Suivant →" xr:uid="{C21F6F24-AB0C-431A-9E15-4C3AE52DDA9D}"/>
    <hyperlink ref="C1" location="'Table des matières'!A1" display="Table des matières" xr:uid="{F29EAEE0-8AF5-4C05-8326-668EAA3E38DD}"/>
    <hyperlink ref="N16:U16" r:id="rId1" display="Loi du 4 juin 2024 sur la péréquation intercommunale - sous délai référendaire" xr:uid="{982AB7E2-7531-490B-A7A4-484E794ECA70}"/>
    <hyperlink ref="N18:U18" r:id="rId2" display="Loi du 24 novembre 2003 sur l'organisation et le financement de la politique sociale" xr:uid="{E0430090-D32C-47C4-AE4E-24EBEEA1F029}"/>
    <hyperlink ref="N19:U19" r:id="rId3" display="Loi du 13 septembre 2011 sur l'organisation policière vaudoise" xr:uid="{24C9BC6C-3766-4E34-A772-36E3E7478091}"/>
    <hyperlink ref="N20:U20" r:id="rId4" display="Décret du 4 juin 2024 octroyant une compensation transitoire aux communes désavantagées par le nouveau système" xr:uid="{29DB9C29-8475-409B-8F0D-DD62C995D2B8}"/>
    <hyperlink ref="N17:U17" r:id="rId5" display="Règlement du 15 janvier 2025 d'application de la loi sur la péréquation intercommunale" xr:uid="{494E71CE-2EFC-4952-A2C1-E48EA682A8E1}"/>
  </hyperlinks>
  <printOptions horizontalCentered="1" verticalCentered="1"/>
  <pageMargins left="0.7" right="0.7" top="0.75" bottom="0.75" header="0.3" footer="0.3"/>
  <pageSetup paperSize="9" orientation="landscape"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3625-2020-4619-9BB8-58AA41C21EDC}">
  <sheetPr>
    <pageSetUpPr fitToPage="1"/>
  </sheetPr>
  <dimension ref="A1:AE308"/>
  <sheetViews>
    <sheetView zoomScale="90" zoomScaleNormal="90" workbookViewId="0">
      <pane xSplit="2" ySplit="7" topLeftCell="C8" activePane="bottomRight" state="frozen"/>
      <selection pane="topRight" activeCell="C1" sqref="C1"/>
      <selection pane="bottomLeft" activeCell="A8" sqref="A8"/>
      <selection pane="bottomRight"/>
    </sheetView>
  </sheetViews>
  <sheetFormatPr baseColWidth="10" defaultRowHeight="15" x14ac:dyDescent="0.25"/>
  <cols>
    <col min="1" max="1" width="6.42578125" style="13" customWidth="1"/>
    <col min="2" max="2" width="24.7109375" style="13" bestFit="1" customWidth="1"/>
    <col min="3" max="3" width="11.7109375" style="13" bestFit="1" customWidth="1"/>
    <col min="4" max="4" width="8.42578125" style="13" bestFit="1" customWidth="1"/>
    <col min="5" max="5" width="7.42578125" style="13" bestFit="1" customWidth="1"/>
    <col min="6" max="6" width="14.85546875" style="13" bestFit="1" customWidth="1"/>
    <col min="7" max="8" width="13.28515625" style="13" bestFit="1" customWidth="1"/>
    <col min="9" max="10" width="12.140625" style="13" bestFit="1" customWidth="1"/>
    <col min="11" max="11" width="15.7109375" style="13" bestFit="1" customWidth="1"/>
    <col min="12" max="12" width="12.85546875" style="13" bestFit="1" customWidth="1"/>
    <col min="13" max="13" width="11.7109375" style="13" bestFit="1" customWidth="1"/>
    <col min="14" max="14" width="12.140625" style="13" bestFit="1" customWidth="1"/>
    <col min="15" max="15" width="13.28515625" style="13" bestFit="1" customWidth="1"/>
    <col min="16" max="17" width="12.140625" style="13" bestFit="1" customWidth="1"/>
    <col min="18" max="18" width="12.85546875" style="13" bestFit="1" customWidth="1"/>
    <col min="19" max="20" width="13.28515625" style="13" bestFit="1" customWidth="1"/>
    <col min="21" max="22" width="12.140625" style="13" bestFit="1" customWidth="1"/>
    <col min="23" max="23" width="14.85546875" style="13" bestFit="1" customWidth="1"/>
    <col min="24" max="24" width="11.5703125" style="13" bestFit="1" customWidth="1"/>
    <col min="25" max="25" width="10.85546875" style="13" bestFit="1" customWidth="1"/>
    <col min="26" max="26" width="11.5703125" style="13" bestFit="1" customWidth="1"/>
    <col min="27" max="28" width="9" style="13" bestFit="1" customWidth="1"/>
    <col min="29" max="29" width="14.85546875" style="13" bestFit="1" customWidth="1"/>
    <col min="30" max="30" width="14.7109375" style="13" customWidth="1"/>
    <col min="31" max="31" width="6.42578125" style="13" customWidth="1"/>
    <col min="32" max="16384" width="11.42578125" style="13"/>
  </cols>
  <sheetData>
    <row r="1" spans="1:31" s="19" customFormat="1" ht="27" customHeight="1" x14ac:dyDescent="0.25">
      <c r="A1" s="34" t="s">
        <v>469</v>
      </c>
      <c r="C1" s="131" t="s">
        <v>442</v>
      </c>
      <c r="D1" s="523" t="s">
        <v>443</v>
      </c>
      <c r="E1" s="523"/>
      <c r="F1" s="132" t="s">
        <v>444</v>
      </c>
      <c r="G1" s="524" t="s">
        <v>574</v>
      </c>
      <c r="H1" s="524"/>
      <c r="S1" s="35"/>
      <c r="T1" s="35"/>
      <c r="U1" s="35"/>
      <c r="V1" s="35"/>
      <c r="W1" s="35"/>
      <c r="X1" s="35"/>
    </row>
    <row r="2" spans="1:31" ht="15" customHeight="1" x14ac:dyDescent="0.25">
      <c r="A2" s="62" t="str">
        <f>_xlfn.CONCAT(Paramètres!M5," ",Paramètres!N5)</f>
        <v>Décompte prévisionnel 2026</v>
      </c>
      <c r="E2" s="58"/>
      <c r="N2" s="81"/>
      <c r="R2" s="82"/>
      <c r="S2" s="81"/>
      <c r="T2" s="81"/>
      <c r="U2" s="81"/>
      <c r="V2" s="81"/>
      <c r="W2" s="81"/>
      <c r="X2" s="20"/>
    </row>
    <row r="3" spans="1:31" ht="15" customHeight="1" x14ac:dyDescent="0.25">
      <c r="N3" s="81"/>
      <c r="O3" s="83"/>
      <c r="P3" s="83"/>
      <c r="R3" s="82"/>
      <c r="S3" s="81"/>
      <c r="T3" s="81"/>
      <c r="U3" s="81"/>
      <c r="V3" s="81"/>
      <c r="W3" s="81"/>
      <c r="X3" s="20"/>
    </row>
    <row r="4" spans="1:31" x14ac:dyDescent="0.25">
      <c r="H4" s="58"/>
      <c r="I4" s="58"/>
      <c r="J4" s="83"/>
      <c r="K4" s="83"/>
      <c r="L4" s="83"/>
      <c r="M4" s="83"/>
      <c r="N4" s="24"/>
      <c r="O4" s="83"/>
      <c r="P4" s="83"/>
      <c r="R4" s="82"/>
      <c r="S4" s="20"/>
      <c r="T4" s="20"/>
      <c r="U4" s="20"/>
      <c r="V4" s="20"/>
      <c r="W4" s="20"/>
      <c r="X4" s="20"/>
    </row>
    <row r="5" spans="1:31" x14ac:dyDescent="0.25">
      <c r="A5" s="84"/>
      <c r="B5" s="84"/>
      <c r="C5" s="295"/>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row>
    <row r="6" spans="1:31" x14ac:dyDescent="0.25">
      <c r="A6" s="519" t="s">
        <v>0</v>
      </c>
      <c r="B6" s="519" t="s">
        <v>1</v>
      </c>
      <c r="C6" s="152" t="str">
        <f>_xlfn.CONCAT("31.12.",Paramètres!O5)</f>
        <v>31.12.2024</v>
      </c>
      <c r="D6" s="153">
        <f>Paramètres!$O$5</f>
        <v>2024</v>
      </c>
      <c r="E6" s="153">
        <f>Paramètres!$O$5</f>
        <v>2024</v>
      </c>
      <c r="F6" s="153">
        <f>Paramètres!$O$5</f>
        <v>2024</v>
      </c>
      <c r="G6" s="153">
        <f>Paramètres!$O$5</f>
        <v>2024</v>
      </c>
      <c r="H6" s="153">
        <f>Paramètres!$O$5</f>
        <v>2024</v>
      </c>
      <c r="I6" s="153">
        <f>Paramètres!$O$5</f>
        <v>2024</v>
      </c>
      <c r="J6" s="153">
        <f>Paramètres!$O$5</f>
        <v>2024</v>
      </c>
      <c r="K6" s="153">
        <f>Paramètres!$O$5</f>
        <v>2024</v>
      </c>
      <c r="L6" s="153">
        <f>Paramètres!$O$5</f>
        <v>2024</v>
      </c>
      <c r="M6" s="153">
        <f>Paramètres!$O$5</f>
        <v>2024</v>
      </c>
      <c r="N6" s="153">
        <f>Paramètres!$O$5</f>
        <v>2024</v>
      </c>
      <c r="O6" s="153">
        <f>Paramètres!$O$5</f>
        <v>2024</v>
      </c>
      <c r="P6" s="153">
        <f>Paramètres!$O$5</f>
        <v>2024</v>
      </c>
      <c r="Q6" s="153">
        <f>Paramètres!$O$5</f>
        <v>2024</v>
      </c>
      <c r="R6" s="153">
        <f>Paramètres!$O$5</f>
        <v>2024</v>
      </c>
      <c r="S6" s="153">
        <f>Paramètres!$O$5</f>
        <v>2024</v>
      </c>
      <c r="T6" s="153">
        <f>Paramètres!$O$5</f>
        <v>2024</v>
      </c>
      <c r="U6" s="153">
        <f>Paramètres!$O$5</f>
        <v>2024</v>
      </c>
      <c r="V6" s="153">
        <f>Paramètres!$O$5</f>
        <v>2024</v>
      </c>
      <c r="W6" s="153">
        <f>Paramètres!$O$5</f>
        <v>2024</v>
      </c>
      <c r="X6" s="154" t="str">
        <f>Paramètres!C19</f>
        <v>2020/2025</v>
      </c>
      <c r="Y6" s="153">
        <f>Paramètres!$O$5</f>
        <v>2024</v>
      </c>
      <c r="Z6" s="154" t="s">
        <v>394</v>
      </c>
      <c r="AA6" s="153" t="str">
        <f>_xlfn.CONCAT("10.",Paramètres!O5)</f>
        <v>10.2024</v>
      </c>
      <c r="AB6" s="153" t="str">
        <f>_xlfn.CONCAT("10.",Paramètres!O5)</f>
        <v>10.2024</v>
      </c>
      <c r="AC6" s="153">
        <f>Paramètres!$O$5</f>
        <v>2024</v>
      </c>
      <c r="AD6" s="153">
        <f>Paramètres!$O$5-1</f>
        <v>2023</v>
      </c>
      <c r="AE6" s="153">
        <f>Paramètres!$O$5</f>
        <v>2024</v>
      </c>
    </row>
    <row r="7" spans="1:31" ht="39.75" customHeight="1" x14ac:dyDescent="0.25">
      <c r="A7" s="520"/>
      <c r="B7" s="520"/>
      <c r="C7" s="290" t="s">
        <v>29</v>
      </c>
      <c r="D7" s="248" t="s">
        <v>15</v>
      </c>
      <c r="E7" s="250" t="s">
        <v>9</v>
      </c>
      <c r="F7" s="248" t="s">
        <v>3</v>
      </c>
      <c r="G7" s="248" t="s">
        <v>4</v>
      </c>
      <c r="H7" s="248" t="s">
        <v>5</v>
      </c>
      <c r="I7" s="248" t="s">
        <v>6</v>
      </c>
      <c r="J7" s="248" t="s">
        <v>7</v>
      </c>
      <c r="K7" s="249" t="s">
        <v>54</v>
      </c>
      <c r="L7" s="248" t="s">
        <v>44</v>
      </c>
      <c r="M7" s="248" t="s">
        <v>578</v>
      </c>
      <c r="N7" s="248" t="s">
        <v>529</v>
      </c>
      <c r="O7" s="250" t="s">
        <v>9</v>
      </c>
      <c r="P7" s="251" t="s">
        <v>8</v>
      </c>
      <c r="Q7" s="251" t="s">
        <v>55</v>
      </c>
      <c r="R7" s="251" t="s">
        <v>35</v>
      </c>
      <c r="S7" s="244" t="s">
        <v>38</v>
      </c>
      <c r="T7" s="244" t="s">
        <v>39</v>
      </c>
      <c r="U7" s="244" t="s">
        <v>40</v>
      </c>
      <c r="V7" s="245" t="s">
        <v>41</v>
      </c>
      <c r="W7" s="286" t="s">
        <v>550</v>
      </c>
      <c r="X7" s="253" t="s">
        <v>30</v>
      </c>
      <c r="Y7" s="253" t="s">
        <v>414</v>
      </c>
      <c r="Z7" s="253" t="s">
        <v>417</v>
      </c>
      <c r="AA7" s="254" t="s">
        <v>42</v>
      </c>
      <c r="AB7" s="254" t="s">
        <v>395</v>
      </c>
      <c r="AC7" s="252" t="s">
        <v>552</v>
      </c>
      <c r="AD7" s="252" t="s">
        <v>553</v>
      </c>
      <c r="AE7" s="275" t="s">
        <v>24</v>
      </c>
    </row>
    <row r="8" spans="1:31" x14ac:dyDescent="0.25">
      <c r="A8" s="147">
        <v>5401</v>
      </c>
      <c r="B8" s="292" t="s">
        <v>66</v>
      </c>
      <c r="C8" s="297">
        <v>11780</v>
      </c>
      <c r="D8" s="298">
        <v>66</v>
      </c>
      <c r="E8" s="299">
        <v>1.2</v>
      </c>
      <c r="F8" s="300">
        <v>14031953.439999999</v>
      </c>
      <c r="G8" s="301">
        <v>1547066.5</v>
      </c>
      <c r="H8" s="301">
        <v>1605545</v>
      </c>
      <c r="I8" s="301">
        <v>230699.85</v>
      </c>
      <c r="J8" s="301">
        <v>18570.25</v>
      </c>
      <c r="K8" s="301">
        <v>175768.24</v>
      </c>
      <c r="L8" s="301">
        <v>-406738.7</v>
      </c>
      <c r="M8" s="301">
        <v>-6937</v>
      </c>
      <c r="N8" s="302">
        <f>$N$308/SUM($H$308:$I$308)*(H8+I8)</f>
        <v>181272.69966283793</v>
      </c>
      <c r="O8" s="301">
        <v>2541756.7999999998</v>
      </c>
      <c r="P8" s="301">
        <v>802236.7</v>
      </c>
      <c r="Q8" s="301">
        <v>279154.05</v>
      </c>
      <c r="R8" s="301">
        <v>-14057.03</v>
      </c>
      <c r="S8" s="301">
        <v>967369.9</v>
      </c>
      <c r="T8" s="301">
        <v>840998.5</v>
      </c>
      <c r="U8" s="301">
        <v>464932.3</v>
      </c>
      <c r="V8" s="301">
        <v>1785549.45</v>
      </c>
      <c r="W8" s="302">
        <f>SUM(F8:V8)</f>
        <v>25045140.949662834</v>
      </c>
      <c r="X8" s="301">
        <v>1568</v>
      </c>
      <c r="Y8" s="301">
        <v>1</v>
      </c>
      <c r="Z8" s="303">
        <v>0.35299999999999998</v>
      </c>
      <c r="AA8" s="301">
        <v>1415</v>
      </c>
      <c r="AB8" s="301">
        <v>29</v>
      </c>
      <c r="AC8" s="301">
        <v>1604810</v>
      </c>
      <c r="AD8" s="301">
        <v>-43474</v>
      </c>
      <c r="AE8" s="301">
        <v>1</v>
      </c>
    </row>
    <row r="9" spans="1:31" x14ac:dyDescent="0.25">
      <c r="A9" s="148">
        <v>5402</v>
      </c>
      <c r="B9" s="293" t="s">
        <v>105</v>
      </c>
      <c r="C9" s="301">
        <v>8806</v>
      </c>
      <c r="D9" s="304">
        <v>71</v>
      </c>
      <c r="E9" s="305">
        <v>1.25</v>
      </c>
      <c r="F9" s="300">
        <v>9859037.25</v>
      </c>
      <c r="G9" s="301">
        <v>1478320.1</v>
      </c>
      <c r="H9" s="301">
        <v>725065.7</v>
      </c>
      <c r="I9" s="301">
        <v>103029.7</v>
      </c>
      <c r="J9" s="301">
        <v>27725.85</v>
      </c>
      <c r="K9" s="301">
        <v>68748.11</v>
      </c>
      <c r="L9" s="301">
        <v>-348478.11</v>
      </c>
      <c r="M9" s="301">
        <v>-1216.6600000000001</v>
      </c>
      <c r="N9" s="302">
        <f t="shared" ref="N9:N72" si="0">$N$308/SUM($H$308:$I$308)*(H9+I9)</f>
        <v>81748.950166628158</v>
      </c>
      <c r="O9" s="301">
        <v>1874662.9</v>
      </c>
      <c r="P9" s="301">
        <v>517206.63</v>
      </c>
      <c r="Q9" s="301">
        <v>163861.9</v>
      </c>
      <c r="R9" s="301">
        <v>-3028.52</v>
      </c>
      <c r="S9" s="301">
        <v>1044265.1</v>
      </c>
      <c r="T9" s="301">
        <v>440537.8</v>
      </c>
      <c r="U9" s="301">
        <v>573170.30000000005</v>
      </c>
      <c r="V9" s="301">
        <v>458534.25</v>
      </c>
      <c r="W9" s="302">
        <f t="shared" ref="W9:W72" si="1">SUM(F9:V9)</f>
        <v>17063191.250166629</v>
      </c>
      <c r="X9" s="301">
        <v>6400</v>
      </c>
      <c r="Y9" s="301">
        <v>512</v>
      </c>
      <c r="Z9" s="303">
        <v>0.7</v>
      </c>
      <c r="AA9" s="301">
        <v>1082</v>
      </c>
      <c r="AB9" s="301">
        <v>125</v>
      </c>
      <c r="AC9" s="301">
        <v>753095</v>
      </c>
      <c r="AD9" s="301">
        <v>-20401</v>
      </c>
      <c r="AE9" s="301">
        <v>1</v>
      </c>
    </row>
    <row r="10" spans="1:31" x14ac:dyDescent="0.25">
      <c r="A10" s="148">
        <v>5403</v>
      </c>
      <c r="B10" s="293" t="s">
        <v>106</v>
      </c>
      <c r="C10" s="301">
        <v>528</v>
      </c>
      <c r="D10" s="304">
        <v>65</v>
      </c>
      <c r="E10" s="305">
        <v>1</v>
      </c>
      <c r="F10" s="300">
        <v>613506.68999999994</v>
      </c>
      <c r="G10" s="301">
        <v>91009.42</v>
      </c>
      <c r="H10" s="301">
        <v>-15579.35</v>
      </c>
      <c r="I10" s="301">
        <v>1386.6</v>
      </c>
      <c r="J10" s="301"/>
      <c r="K10" s="301">
        <v>9813.4699999999993</v>
      </c>
      <c r="L10" s="301">
        <v>-21964.68</v>
      </c>
      <c r="M10" s="301">
        <v>-50</v>
      </c>
      <c r="N10" s="302">
        <f t="shared" si="0"/>
        <v>-1401.0975214660195</v>
      </c>
      <c r="O10" s="301">
        <v>90678.9</v>
      </c>
      <c r="P10" s="301">
        <v>18979.48</v>
      </c>
      <c r="Q10" s="301">
        <v>6825.1</v>
      </c>
      <c r="R10" s="301">
        <v>-222.8</v>
      </c>
      <c r="S10" s="301">
        <v>71632</v>
      </c>
      <c r="T10" s="301"/>
      <c r="U10" s="301">
        <v>98233.9</v>
      </c>
      <c r="V10" s="301">
        <v>9603.1</v>
      </c>
      <c r="W10" s="302">
        <f t="shared" si="1"/>
        <v>972450.73247853387</v>
      </c>
      <c r="X10" s="301">
        <v>330</v>
      </c>
      <c r="Y10" s="301">
        <v>0</v>
      </c>
      <c r="Z10" s="303">
        <v>2.4E-2</v>
      </c>
      <c r="AA10" s="301">
        <v>72</v>
      </c>
      <c r="AB10" s="301">
        <v>59</v>
      </c>
      <c r="AC10" s="301">
        <v>0</v>
      </c>
      <c r="AD10" s="301">
        <v>0</v>
      </c>
      <c r="AE10" s="301">
        <v>0</v>
      </c>
    </row>
    <row r="11" spans="1:31" x14ac:dyDescent="0.25">
      <c r="A11" s="148">
        <v>5404</v>
      </c>
      <c r="B11" s="293" t="s">
        <v>107</v>
      </c>
      <c r="C11" s="301">
        <v>452</v>
      </c>
      <c r="D11" s="304">
        <v>74</v>
      </c>
      <c r="E11" s="305">
        <v>1.5</v>
      </c>
      <c r="F11" s="300">
        <v>629160.39</v>
      </c>
      <c r="G11" s="301">
        <v>153874.09</v>
      </c>
      <c r="H11" s="301">
        <v>2872.65</v>
      </c>
      <c r="I11" s="301">
        <v>6183.25</v>
      </c>
      <c r="J11" s="301"/>
      <c r="K11" s="301">
        <v>13569.73</v>
      </c>
      <c r="L11" s="301">
        <v>-12288.1</v>
      </c>
      <c r="M11" s="301">
        <v>0</v>
      </c>
      <c r="N11" s="302">
        <f t="shared" si="0"/>
        <v>893.99158335376342</v>
      </c>
      <c r="O11" s="301">
        <v>141700.4</v>
      </c>
      <c r="P11" s="301">
        <v>5301.11</v>
      </c>
      <c r="Q11" s="301">
        <v>2184.0500000000002</v>
      </c>
      <c r="R11" s="301">
        <v>-745.15</v>
      </c>
      <c r="S11" s="301">
        <v>21071.25</v>
      </c>
      <c r="T11" s="301">
        <v>10659.8</v>
      </c>
      <c r="U11" s="301">
        <v>25206</v>
      </c>
      <c r="V11" s="301">
        <v>15612.4</v>
      </c>
      <c r="W11" s="302">
        <f t="shared" si="1"/>
        <v>1015255.8615833538</v>
      </c>
      <c r="X11" s="301">
        <v>2057</v>
      </c>
      <c r="Y11" s="301">
        <v>442</v>
      </c>
      <c r="Z11" s="303">
        <v>0.66400000000000003</v>
      </c>
      <c r="AA11" s="301">
        <v>43</v>
      </c>
      <c r="AB11" s="301">
        <v>31</v>
      </c>
      <c r="AC11" s="301">
        <v>0</v>
      </c>
      <c r="AD11" s="301">
        <v>0</v>
      </c>
      <c r="AE11" s="301">
        <v>0</v>
      </c>
    </row>
    <row r="12" spans="1:31" x14ac:dyDescent="0.25">
      <c r="A12" s="148">
        <v>5405</v>
      </c>
      <c r="B12" s="293" t="s">
        <v>108</v>
      </c>
      <c r="C12" s="301">
        <v>1525</v>
      </c>
      <c r="D12" s="304">
        <v>73.5</v>
      </c>
      <c r="E12" s="305">
        <v>1.5</v>
      </c>
      <c r="F12" s="300">
        <v>3200070.43</v>
      </c>
      <c r="G12" s="301">
        <v>1440665.97</v>
      </c>
      <c r="H12" s="301">
        <v>92418.45</v>
      </c>
      <c r="I12" s="301">
        <v>15028.2</v>
      </c>
      <c r="J12" s="301">
        <v>142544.35</v>
      </c>
      <c r="K12" s="301">
        <v>5297.42</v>
      </c>
      <c r="L12" s="301">
        <v>-33026.68</v>
      </c>
      <c r="M12" s="301">
        <v>-100</v>
      </c>
      <c r="N12" s="302">
        <f t="shared" si="0"/>
        <v>10607.051840187904</v>
      </c>
      <c r="O12" s="301">
        <v>1299900.6000000001</v>
      </c>
      <c r="P12" s="301">
        <v>134572.49</v>
      </c>
      <c r="Q12" s="301">
        <v>18061.8</v>
      </c>
      <c r="R12" s="301">
        <v>-9004.6</v>
      </c>
      <c r="S12" s="301">
        <v>480860.2</v>
      </c>
      <c r="T12" s="301">
        <v>89720.1</v>
      </c>
      <c r="U12" s="301">
        <v>482318</v>
      </c>
      <c r="V12" s="301">
        <v>3983.1</v>
      </c>
      <c r="W12" s="302">
        <f t="shared" si="1"/>
        <v>7373916.8818401881</v>
      </c>
      <c r="X12" s="301">
        <v>1404</v>
      </c>
      <c r="Y12" s="301">
        <v>1525</v>
      </c>
      <c r="Z12" s="303">
        <v>0.61099999999999999</v>
      </c>
      <c r="AA12" s="301">
        <v>133</v>
      </c>
      <c r="AB12" s="301">
        <v>91</v>
      </c>
      <c r="AC12" s="301">
        <v>0</v>
      </c>
      <c r="AD12" s="301">
        <v>0</v>
      </c>
      <c r="AE12" s="301">
        <v>0</v>
      </c>
    </row>
    <row r="13" spans="1:31" x14ac:dyDescent="0.25">
      <c r="A13" s="148">
        <v>5406</v>
      </c>
      <c r="B13" s="293" t="s">
        <v>109</v>
      </c>
      <c r="C13" s="301">
        <v>1014</v>
      </c>
      <c r="D13" s="304">
        <v>71.5</v>
      </c>
      <c r="E13" s="305">
        <v>1.3</v>
      </c>
      <c r="F13" s="300">
        <v>1192310.6399999999</v>
      </c>
      <c r="G13" s="301">
        <v>167461.26999999999</v>
      </c>
      <c r="H13" s="301">
        <v>108359.8</v>
      </c>
      <c r="I13" s="301">
        <v>5954.55</v>
      </c>
      <c r="J13" s="301"/>
      <c r="K13" s="301">
        <v>22311.08</v>
      </c>
      <c r="L13" s="301">
        <v>-35338.68</v>
      </c>
      <c r="M13" s="301">
        <v>-5650</v>
      </c>
      <c r="N13" s="302">
        <f t="shared" si="0"/>
        <v>11285.025978263484</v>
      </c>
      <c r="O13" s="301">
        <v>209636.85</v>
      </c>
      <c r="P13" s="301">
        <v>58937.440000000002</v>
      </c>
      <c r="Q13" s="301">
        <v>10214.5</v>
      </c>
      <c r="R13" s="301">
        <v>-51.85</v>
      </c>
      <c r="S13" s="301">
        <v>36217.5</v>
      </c>
      <c r="T13" s="301">
        <v>138625</v>
      </c>
      <c r="U13" s="301">
        <v>7574.2</v>
      </c>
      <c r="V13" s="301">
        <v>13009.3</v>
      </c>
      <c r="W13" s="302">
        <f t="shared" si="1"/>
        <v>1940856.6259782636</v>
      </c>
      <c r="X13" s="301">
        <v>1247</v>
      </c>
      <c r="Y13" s="301">
        <v>19</v>
      </c>
      <c r="Z13" s="303">
        <v>0.82699999999999996</v>
      </c>
      <c r="AA13" s="301">
        <v>128</v>
      </c>
      <c r="AB13" s="301">
        <v>4</v>
      </c>
      <c r="AC13" s="301">
        <v>0</v>
      </c>
      <c r="AD13" s="301">
        <v>0</v>
      </c>
      <c r="AE13" s="301">
        <v>0</v>
      </c>
    </row>
    <row r="14" spans="1:31" x14ac:dyDescent="0.25">
      <c r="A14" s="148">
        <v>5407</v>
      </c>
      <c r="B14" s="293" t="s">
        <v>110</v>
      </c>
      <c r="C14" s="301">
        <v>3685</v>
      </c>
      <c r="D14" s="304">
        <v>78</v>
      </c>
      <c r="E14" s="305">
        <v>1.5</v>
      </c>
      <c r="F14" s="300">
        <v>4385610.2300000004</v>
      </c>
      <c r="G14" s="301">
        <v>1117294.8600000001</v>
      </c>
      <c r="H14" s="301">
        <v>194419.75</v>
      </c>
      <c r="I14" s="301">
        <v>144470.15</v>
      </c>
      <c r="J14" s="301">
        <v>175347.8</v>
      </c>
      <c r="K14" s="301">
        <v>44529.74</v>
      </c>
      <c r="L14" s="301">
        <v>-193690.05</v>
      </c>
      <c r="M14" s="301">
        <v>-2583.66</v>
      </c>
      <c r="N14" s="302">
        <f t="shared" si="0"/>
        <v>33454.954039200806</v>
      </c>
      <c r="O14" s="301">
        <v>1345574.6</v>
      </c>
      <c r="P14" s="301">
        <v>503978.57</v>
      </c>
      <c r="Q14" s="301">
        <v>61928.85</v>
      </c>
      <c r="R14" s="301">
        <v>-7220.17</v>
      </c>
      <c r="S14" s="301">
        <v>545165.85</v>
      </c>
      <c r="T14" s="301">
        <v>8004.9</v>
      </c>
      <c r="U14" s="301">
        <v>360795.5</v>
      </c>
      <c r="V14" s="301">
        <v>134794.54999999999</v>
      </c>
      <c r="W14" s="302">
        <f t="shared" si="1"/>
        <v>8851876.4240392037</v>
      </c>
      <c r="X14" s="301">
        <v>1489</v>
      </c>
      <c r="Y14" s="301">
        <v>3685</v>
      </c>
      <c r="Z14" s="303">
        <v>0.70199999999999996</v>
      </c>
      <c r="AA14" s="301">
        <v>294</v>
      </c>
      <c r="AB14" s="301">
        <v>93</v>
      </c>
      <c r="AC14" s="301">
        <v>0</v>
      </c>
      <c r="AD14" s="301">
        <v>0</v>
      </c>
      <c r="AE14" s="301">
        <v>0</v>
      </c>
    </row>
    <row r="15" spans="1:31" x14ac:dyDescent="0.25">
      <c r="A15" s="148">
        <v>5408</v>
      </c>
      <c r="B15" s="293" t="s">
        <v>111</v>
      </c>
      <c r="C15" s="301">
        <v>1208</v>
      </c>
      <c r="D15" s="304">
        <v>75</v>
      </c>
      <c r="E15" s="305">
        <v>1.5</v>
      </c>
      <c r="F15" s="300">
        <v>2268110.56</v>
      </c>
      <c r="G15" s="301">
        <v>353475.68</v>
      </c>
      <c r="H15" s="301">
        <v>38330</v>
      </c>
      <c r="I15" s="301">
        <v>23571.3</v>
      </c>
      <c r="J15" s="301"/>
      <c r="K15" s="301">
        <v>361.86</v>
      </c>
      <c r="L15" s="301">
        <v>-13148.58</v>
      </c>
      <c r="M15" s="301">
        <v>0</v>
      </c>
      <c r="N15" s="302">
        <f t="shared" si="0"/>
        <v>6110.8494129414321</v>
      </c>
      <c r="O15" s="301">
        <v>548316.1</v>
      </c>
      <c r="P15" s="301">
        <v>64627.26</v>
      </c>
      <c r="Q15" s="301">
        <v>26194.75</v>
      </c>
      <c r="R15" s="301">
        <v>-2443.9</v>
      </c>
      <c r="S15" s="301">
        <v>115042.6</v>
      </c>
      <c r="T15" s="301">
        <v>7543.6</v>
      </c>
      <c r="U15" s="301">
        <v>52371.45</v>
      </c>
      <c r="V15" s="301">
        <v>256359.85</v>
      </c>
      <c r="W15" s="302">
        <f t="shared" si="1"/>
        <v>3744823.3794129416</v>
      </c>
      <c r="X15" s="301">
        <v>886</v>
      </c>
      <c r="Y15" s="301">
        <v>0</v>
      </c>
      <c r="Z15" s="303">
        <v>0.01</v>
      </c>
      <c r="AA15" s="301">
        <v>160</v>
      </c>
      <c r="AB15" s="301">
        <v>83</v>
      </c>
      <c r="AC15" s="301">
        <v>0</v>
      </c>
      <c r="AD15" s="301">
        <v>0</v>
      </c>
      <c r="AE15" s="301">
        <v>0</v>
      </c>
    </row>
    <row r="16" spans="1:31" x14ac:dyDescent="0.25">
      <c r="A16" s="148">
        <v>5409</v>
      </c>
      <c r="B16" s="293" t="s">
        <v>112</v>
      </c>
      <c r="C16" s="301">
        <v>8222</v>
      </c>
      <c r="D16" s="304">
        <v>68</v>
      </c>
      <c r="E16" s="305">
        <v>1.3</v>
      </c>
      <c r="F16" s="300">
        <v>15760493.369999999</v>
      </c>
      <c r="G16" s="301">
        <v>6318412.8099999996</v>
      </c>
      <c r="H16" s="301">
        <v>686772.95</v>
      </c>
      <c r="I16" s="301">
        <v>74937.45</v>
      </c>
      <c r="J16" s="301">
        <v>2261670.7999999998</v>
      </c>
      <c r="K16" s="301">
        <v>55137.14</v>
      </c>
      <c r="L16" s="301">
        <v>-233403.12</v>
      </c>
      <c r="M16" s="301">
        <v>-52787</v>
      </c>
      <c r="N16" s="302">
        <f t="shared" si="0"/>
        <v>75195.473288467008</v>
      </c>
      <c r="O16" s="301">
        <v>4480093.7</v>
      </c>
      <c r="P16" s="301">
        <v>834783.01</v>
      </c>
      <c r="Q16" s="301">
        <v>83948.25</v>
      </c>
      <c r="R16" s="301">
        <v>-142654.78</v>
      </c>
      <c r="S16" s="301">
        <v>2284060</v>
      </c>
      <c r="T16" s="301">
        <v>766158.5</v>
      </c>
      <c r="U16" s="301">
        <v>1816352.8</v>
      </c>
      <c r="V16" s="301">
        <v>123954.6</v>
      </c>
      <c r="W16" s="302">
        <f t="shared" si="1"/>
        <v>35193125.953288466</v>
      </c>
      <c r="X16" s="301">
        <v>5746</v>
      </c>
      <c r="Y16" s="301">
        <v>4109</v>
      </c>
      <c r="Z16" s="303">
        <v>0.52800000000000002</v>
      </c>
      <c r="AA16" s="301">
        <v>668</v>
      </c>
      <c r="AB16" s="301">
        <v>179</v>
      </c>
      <c r="AC16" s="301">
        <v>878611</v>
      </c>
      <c r="AD16" s="301">
        <v>-23801</v>
      </c>
      <c r="AE16" s="301">
        <v>1</v>
      </c>
    </row>
    <row r="17" spans="1:31" x14ac:dyDescent="0.25">
      <c r="A17" s="148">
        <v>5410</v>
      </c>
      <c r="B17" s="293" t="s">
        <v>113</v>
      </c>
      <c r="C17" s="301">
        <v>1244</v>
      </c>
      <c r="D17" s="304">
        <v>77</v>
      </c>
      <c r="E17" s="305">
        <v>1.5</v>
      </c>
      <c r="F17" s="300">
        <v>1943729.38</v>
      </c>
      <c r="G17" s="301">
        <v>561014.43000000005</v>
      </c>
      <c r="H17" s="301">
        <v>51912.85</v>
      </c>
      <c r="I17" s="301">
        <v>11137.35</v>
      </c>
      <c r="J17" s="301"/>
      <c r="K17" s="301">
        <v>813.34</v>
      </c>
      <c r="L17" s="301">
        <v>-36367.56</v>
      </c>
      <c r="M17" s="301">
        <v>0</v>
      </c>
      <c r="N17" s="302">
        <f t="shared" si="0"/>
        <v>6224.2679500404656</v>
      </c>
      <c r="O17" s="301">
        <v>618969.75</v>
      </c>
      <c r="P17" s="301">
        <v>75632.97</v>
      </c>
      <c r="Q17" s="301">
        <v>12130.5</v>
      </c>
      <c r="R17" s="301">
        <v>-249.1</v>
      </c>
      <c r="S17" s="301">
        <v>191094.6</v>
      </c>
      <c r="T17" s="301">
        <v>86264.5</v>
      </c>
      <c r="U17" s="301">
        <v>188240.35</v>
      </c>
      <c r="V17" s="301">
        <v>22144.5</v>
      </c>
      <c r="W17" s="302">
        <f t="shared" si="1"/>
        <v>3732692.1279500406</v>
      </c>
      <c r="X17" s="301">
        <v>5679</v>
      </c>
      <c r="Y17" s="301">
        <v>1244</v>
      </c>
      <c r="Z17" s="303">
        <v>0.623</v>
      </c>
      <c r="AA17" s="301">
        <v>115</v>
      </c>
      <c r="AB17" s="301">
        <v>69</v>
      </c>
      <c r="AC17" s="301">
        <v>0</v>
      </c>
      <c r="AD17" s="301">
        <v>0</v>
      </c>
      <c r="AE17" s="301">
        <v>0</v>
      </c>
    </row>
    <row r="18" spans="1:31" x14ac:dyDescent="0.25">
      <c r="A18" s="148">
        <v>5411</v>
      </c>
      <c r="B18" s="293" t="s">
        <v>114</v>
      </c>
      <c r="C18" s="301">
        <v>1435</v>
      </c>
      <c r="D18" s="304">
        <v>76</v>
      </c>
      <c r="E18" s="305">
        <v>1.5</v>
      </c>
      <c r="F18" s="300">
        <v>3514374.64</v>
      </c>
      <c r="G18" s="301">
        <v>1403606.1</v>
      </c>
      <c r="H18" s="301">
        <v>86121.25</v>
      </c>
      <c r="I18" s="301">
        <v>12474.45</v>
      </c>
      <c r="J18" s="301">
        <v>214890.85</v>
      </c>
      <c r="K18" s="301"/>
      <c r="L18" s="301">
        <v>-34725.78</v>
      </c>
      <c r="M18" s="301">
        <v>0</v>
      </c>
      <c r="N18" s="302">
        <f t="shared" si="0"/>
        <v>9733.2927654758387</v>
      </c>
      <c r="O18" s="301">
        <v>1344570.05</v>
      </c>
      <c r="P18" s="301">
        <v>198326.04</v>
      </c>
      <c r="Q18" s="301">
        <v>2009.4</v>
      </c>
      <c r="R18" s="301">
        <v>-12238.14</v>
      </c>
      <c r="S18" s="301">
        <v>412198.40000000002</v>
      </c>
      <c r="T18" s="301">
        <v>157714.20000000001</v>
      </c>
      <c r="U18" s="301">
        <v>424402.3</v>
      </c>
      <c r="V18" s="301">
        <v>10064.65</v>
      </c>
      <c r="W18" s="302">
        <f t="shared" si="1"/>
        <v>7743521.7027654769</v>
      </c>
      <c r="X18" s="301">
        <v>4328</v>
      </c>
      <c r="Y18" s="301">
        <v>1435</v>
      </c>
      <c r="Z18" s="303">
        <v>0.72699999999999998</v>
      </c>
      <c r="AA18" s="301">
        <v>131</v>
      </c>
      <c r="AB18" s="301">
        <v>80</v>
      </c>
      <c r="AC18" s="301">
        <v>0</v>
      </c>
      <c r="AD18" s="301">
        <v>0</v>
      </c>
      <c r="AE18" s="301">
        <v>0</v>
      </c>
    </row>
    <row r="19" spans="1:31" x14ac:dyDescent="0.25">
      <c r="A19" s="148">
        <v>5412</v>
      </c>
      <c r="B19" s="293" t="s">
        <v>115</v>
      </c>
      <c r="C19" s="301">
        <v>949</v>
      </c>
      <c r="D19" s="304">
        <v>66</v>
      </c>
      <c r="E19" s="305">
        <v>1</v>
      </c>
      <c r="F19" s="300">
        <v>1219560.77</v>
      </c>
      <c r="G19" s="301">
        <v>138483.26</v>
      </c>
      <c r="H19" s="301">
        <v>243174.5</v>
      </c>
      <c r="I19" s="301">
        <v>10071.200000000001</v>
      </c>
      <c r="J19" s="301"/>
      <c r="K19" s="301">
        <v>7120.72</v>
      </c>
      <c r="L19" s="301">
        <v>-19022.009999999998</v>
      </c>
      <c r="M19" s="301">
        <v>0</v>
      </c>
      <c r="N19" s="302">
        <f t="shared" si="0"/>
        <v>25000.223536096044</v>
      </c>
      <c r="O19" s="301">
        <v>296277.2</v>
      </c>
      <c r="P19" s="301">
        <v>99549.21</v>
      </c>
      <c r="Q19" s="301">
        <v>43857.45</v>
      </c>
      <c r="R19" s="301">
        <v>-512.45000000000005</v>
      </c>
      <c r="S19" s="301">
        <v>213499</v>
      </c>
      <c r="T19" s="301">
        <v>6065.2</v>
      </c>
      <c r="U19" s="301">
        <v>94919.8</v>
      </c>
      <c r="V19" s="301">
        <v>1405262.2</v>
      </c>
      <c r="W19" s="302">
        <f t="shared" si="1"/>
        <v>3783306.2735360963</v>
      </c>
      <c r="X19" s="301">
        <v>216</v>
      </c>
      <c r="Y19" s="301">
        <v>0</v>
      </c>
      <c r="Z19" s="303">
        <v>0.02</v>
      </c>
      <c r="AA19" s="301">
        <v>132</v>
      </c>
      <c r="AB19" s="301">
        <v>81</v>
      </c>
      <c r="AC19" s="301">
        <v>0</v>
      </c>
      <c r="AD19" s="301">
        <v>0</v>
      </c>
      <c r="AE19" s="301">
        <v>0</v>
      </c>
    </row>
    <row r="20" spans="1:31" x14ac:dyDescent="0.25">
      <c r="A20" s="148">
        <v>5413</v>
      </c>
      <c r="B20" s="293" t="s">
        <v>116</v>
      </c>
      <c r="C20" s="301">
        <v>1996</v>
      </c>
      <c r="D20" s="304">
        <v>68</v>
      </c>
      <c r="E20" s="305">
        <v>1.2</v>
      </c>
      <c r="F20" s="300">
        <v>1941409.73</v>
      </c>
      <c r="G20" s="301">
        <v>262468.46999999997</v>
      </c>
      <c r="H20" s="301">
        <v>189728.95</v>
      </c>
      <c r="I20" s="301">
        <v>5903.4</v>
      </c>
      <c r="J20" s="301"/>
      <c r="K20" s="301">
        <v>15520.37</v>
      </c>
      <c r="L20" s="301">
        <v>-77214.77</v>
      </c>
      <c r="M20" s="301">
        <v>-16416.66</v>
      </c>
      <c r="N20" s="302">
        <f t="shared" si="0"/>
        <v>19312.677296758757</v>
      </c>
      <c r="O20" s="301">
        <v>394211.85</v>
      </c>
      <c r="P20" s="301">
        <v>117947</v>
      </c>
      <c r="Q20" s="301">
        <v>37395.75</v>
      </c>
      <c r="R20" s="301">
        <v>-407.93</v>
      </c>
      <c r="S20" s="301">
        <v>229331.25</v>
      </c>
      <c r="T20" s="301">
        <v>26970.7</v>
      </c>
      <c r="U20" s="301">
        <v>407845.9</v>
      </c>
      <c r="V20" s="301">
        <v>430564.5</v>
      </c>
      <c r="W20" s="302">
        <f t="shared" si="1"/>
        <v>3984571.1872967589</v>
      </c>
      <c r="X20" s="301">
        <v>617</v>
      </c>
      <c r="Y20" s="301">
        <v>0</v>
      </c>
      <c r="Z20" s="303">
        <v>0.29799999999999999</v>
      </c>
      <c r="AA20" s="301">
        <v>297</v>
      </c>
      <c r="AB20" s="301">
        <v>79</v>
      </c>
      <c r="AC20" s="301">
        <v>0</v>
      </c>
      <c r="AD20" s="301">
        <v>0</v>
      </c>
      <c r="AE20" s="301">
        <v>0</v>
      </c>
    </row>
    <row r="21" spans="1:31" x14ac:dyDescent="0.25">
      <c r="A21" s="148">
        <v>5414</v>
      </c>
      <c r="B21" s="293" t="s">
        <v>117</v>
      </c>
      <c r="C21" s="301">
        <v>6039</v>
      </c>
      <c r="D21" s="304">
        <v>66.5</v>
      </c>
      <c r="E21" s="305">
        <v>1</v>
      </c>
      <c r="F21" s="300">
        <v>7547327.6699999999</v>
      </c>
      <c r="G21" s="301">
        <v>1263837.3500000001</v>
      </c>
      <c r="H21" s="301">
        <v>763275.45</v>
      </c>
      <c r="I21" s="301">
        <v>212099.55</v>
      </c>
      <c r="J21" s="301">
        <v>-20362.099999999999</v>
      </c>
      <c r="K21" s="301">
        <v>68913.53</v>
      </c>
      <c r="L21" s="301">
        <v>-189093.93</v>
      </c>
      <c r="M21" s="301">
        <v>-15950</v>
      </c>
      <c r="N21" s="302">
        <f t="shared" si="0"/>
        <v>96288.280636234602</v>
      </c>
      <c r="O21" s="301">
        <v>1350465.4</v>
      </c>
      <c r="P21" s="301">
        <v>383750.22</v>
      </c>
      <c r="Q21" s="301">
        <v>232925.45</v>
      </c>
      <c r="R21" s="301">
        <v>-4172.68</v>
      </c>
      <c r="S21" s="301">
        <v>749547.2</v>
      </c>
      <c r="T21" s="301">
        <v>174479.9</v>
      </c>
      <c r="U21" s="301">
        <v>385691.05</v>
      </c>
      <c r="V21" s="301">
        <v>1288832.95</v>
      </c>
      <c r="W21" s="302">
        <f t="shared" si="1"/>
        <v>14287855.290636234</v>
      </c>
      <c r="X21" s="301">
        <v>2899</v>
      </c>
      <c r="Y21" s="301">
        <v>0</v>
      </c>
      <c r="Z21" s="303">
        <v>0.82099999999999995</v>
      </c>
      <c r="AA21" s="301">
        <v>712</v>
      </c>
      <c r="AB21" s="301">
        <v>32</v>
      </c>
      <c r="AC21" s="301">
        <v>905032</v>
      </c>
      <c r="AD21" s="301">
        <v>-208094</v>
      </c>
      <c r="AE21" s="301">
        <v>0</v>
      </c>
    </row>
    <row r="22" spans="1:31" x14ac:dyDescent="0.25">
      <c r="A22" s="148">
        <v>5415</v>
      </c>
      <c r="B22" s="293" t="s">
        <v>118</v>
      </c>
      <c r="C22" s="301">
        <v>1110</v>
      </c>
      <c r="D22" s="304">
        <v>71.5</v>
      </c>
      <c r="E22" s="305">
        <v>1.5</v>
      </c>
      <c r="F22" s="300">
        <v>1856488.52</v>
      </c>
      <c r="G22" s="301">
        <v>380684.05</v>
      </c>
      <c r="H22" s="301">
        <v>64924.5</v>
      </c>
      <c r="I22" s="301">
        <v>10938.75</v>
      </c>
      <c r="J22" s="301">
        <v>468.65</v>
      </c>
      <c r="K22" s="301">
        <v>27307.75</v>
      </c>
      <c r="L22" s="301">
        <v>-53381.33</v>
      </c>
      <c r="M22" s="301">
        <v>-1725</v>
      </c>
      <c r="N22" s="302">
        <f t="shared" si="0"/>
        <v>7489.1625333608354</v>
      </c>
      <c r="O22" s="301">
        <v>406272.4</v>
      </c>
      <c r="P22" s="301">
        <v>48385.09</v>
      </c>
      <c r="Q22" s="301">
        <v>25126.7</v>
      </c>
      <c r="R22" s="301">
        <v>-1883.1</v>
      </c>
      <c r="S22" s="301">
        <v>55399.1</v>
      </c>
      <c r="T22" s="301">
        <v>9274.9</v>
      </c>
      <c r="U22" s="301">
        <v>64721.7</v>
      </c>
      <c r="V22" s="301">
        <v>52264.4</v>
      </c>
      <c r="W22" s="302">
        <f t="shared" si="1"/>
        <v>2952756.2425333606</v>
      </c>
      <c r="X22" s="301">
        <v>1178</v>
      </c>
      <c r="Y22" s="301">
        <v>0</v>
      </c>
      <c r="Z22" s="303">
        <v>0.32800000000000001</v>
      </c>
      <c r="AA22" s="301">
        <v>130</v>
      </c>
      <c r="AB22" s="301">
        <v>37</v>
      </c>
      <c r="AC22" s="301">
        <v>259997</v>
      </c>
      <c r="AD22" s="301">
        <v>-7043</v>
      </c>
      <c r="AE22" s="301">
        <v>0</v>
      </c>
    </row>
    <row r="23" spans="1:31" x14ac:dyDescent="0.25">
      <c r="A23" s="148">
        <v>5422</v>
      </c>
      <c r="B23" s="293" t="s">
        <v>119</v>
      </c>
      <c r="C23" s="301">
        <v>3862</v>
      </c>
      <c r="D23" s="304">
        <v>68</v>
      </c>
      <c r="E23" s="305">
        <v>1</v>
      </c>
      <c r="F23" s="300">
        <v>11561440.810000001</v>
      </c>
      <c r="G23" s="301">
        <v>1559577.77</v>
      </c>
      <c r="H23" s="452">
        <f>8605845.45-5000000</f>
        <v>3605845.4499999993</v>
      </c>
      <c r="I23" s="301">
        <v>681079.25</v>
      </c>
      <c r="J23" s="301">
        <v>101327.18</v>
      </c>
      <c r="K23" s="301">
        <v>5179.3599999999997</v>
      </c>
      <c r="L23" s="301">
        <v>-90375.5</v>
      </c>
      <c r="M23" s="301">
        <v>-1100</v>
      </c>
      <c r="N23" s="302">
        <f t="shared" si="0"/>
        <v>423201.95676535257</v>
      </c>
      <c r="O23" s="301">
        <v>1205312.6499999999</v>
      </c>
      <c r="P23" s="301">
        <v>340515.75</v>
      </c>
      <c r="Q23" s="301">
        <v>143845.1</v>
      </c>
      <c r="R23" s="301">
        <v>-7643.3</v>
      </c>
      <c r="S23" s="301">
        <v>421318.35</v>
      </c>
      <c r="T23" s="301">
        <v>319074.5</v>
      </c>
      <c r="U23" s="301">
        <v>226371.95</v>
      </c>
      <c r="V23" s="301">
        <v>886986.7</v>
      </c>
      <c r="W23" s="302">
        <f t="shared" si="1"/>
        <v>21381957.976765353</v>
      </c>
      <c r="X23" s="301">
        <v>1425</v>
      </c>
      <c r="Y23" s="301">
        <v>0</v>
      </c>
      <c r="Z23" s="303">
        <v>0.112</v>
      </c>
      <c r="AA23" s="301">
        <v>431</v>
      </c>
      <c r="AB23" s="301">
        <v>86</v>
      </c>
      <c r="AC23" s="301">
        <v>0</v>
      </c>
      <c r="AD23" s="301">
        <v>0</v>
      </c>
      <c r="AE23" s="301">
        <v>0</v>
      </c>
    </row>
    <row r="24" spans="1:31" x14ac:dyDescent="0.25">
      <c r="A24" s="148">
        <v>5423</v>
      </c>
      <c r="B24" s="293" t="s">
        <v>411</v>
      </c>
      <c r="C24" s="301">
        <v>579</v>
      </c>
      <c r="D24" s="304">
        <v>73</v>
      </c>
      <c r="E24" s="305">
        <v>0.5</v>
      </c>
      <c r="F24" s="300">
        <v>924461.11</v>
      </c>
      <c r="G24" s="301">
        <v>146217.79</v>
      </c>
      <c r="H24" s="301">
        <v>21216.45</v>
      </c>
      <c r="I24" s="301">
        <v>618.4</v>
      </c>
      <c r="J24" s="301"/>
      <c r="K24" s="301">
        <v>203.36</v>
      </c>
      <c r="L24" s="301">
        <v>-23866.16</v>
      </c>
      <c r="M24" s="301">
        <v>0</v>
      </c>
      <c r="N24" s="302">
        <f t="shared" si="0"/>
        <v>2155.5198405229653</v>
      </c>
      <c r="O24" s="301">
        <v>43873.8</v>
      </c>
      <c r="P24" s="301">
        <v>45017.66</v>
      </c>
      <c r="Q24" s="301">
        <v>2926.85</v>
      </c>
      <c r="R24" s="301">
        <v>-244.8</v>
      </c>
      <c r="S24" s="301">
        <v>52125.3</v>
      </c>
      <c r="T24" s="301">
        <v>7.4</v>
      </c>
      <c r="U24" s="301">
        <v>3043.5</v>
      </c>
      <c r="V24" s="301">
        <v>22588.9</v>
      </c>
      <c r="W24" s="302">
        <f t="shared" si="1"/>
        <v>1240345.0798405227</v>
      </c>
      <c r="X24" s="301">
        <v>832</v>
      </c>
      <c r="Y24" s="301">
        <v>0</v>
      </c>
      <c r="Z24" s="303">
        <v>1.7000000000000001E-2</v>
      </c>
      <c r="AA24" s="301">
        <v>60</v>
      </c>
      <c r="AB24" s="301">
        <v>60</v>
      </c>
      <c r="AC24" s="301">
        <v>0</v>
      </c>
      <c r="AD24" s="301">
        <v>0</v>
      </c>
      <c r="AE24" s="301">
        <v>0</v>
      </c>
    </row>
    <row r="25" spans="1:31" x14ac:dyDescent="0.25">
      <c r="A25" s="148">
        <v>5424</v>
      </c>
      <c r="B25" s="293" t="s">
        <v>120</v>
      </c>
      <c r="C25" s="301">
        <v>303</v>
      </c>
      <c r="D25" s="304">
        <v>75.5</v>
      </c>
      <c r="E25" s="305">
        <v>1</v>
      </c>
      <c r="F25" s="300">
        <v>531310.99</v>
      </c>
      <c r="G25" s="301">
        <v>115549.24</v>
      </c>
      <c r="H25" s="301">
        <v>2245.65</v>
      </c>
      <c r="I25" s="301">
        <v>437.85</v>
      </c>
      <c r="J25" s="301">
        <v>43727.75</v>
      </c>
      <c r="K25" s="301">
        <v>1746.24</v>
      </c>
      <c r="L25" s="301">
        <v>-19471.919999999998</v>
      </c>
      <c r="M25" s="301">
        <v>0</v>
      </c>
      <c r="N25" s="302">
        <f t="shared" si="0"/>
        <v>264.9130858257958</v>
      </c>
      <c r="O25" s="301">
        <v>55166.35</v>
      </c>
      <c r="P25" s="301">
        <v>4493.2700000000004</v>
      </c>
      <c r="Q25" s="301">
        <v>766</v>
      </c>
      <c r="R25" s="301">
        <v>-1160.55</v>
      </c>
      <c r="S25" s="301">
        <v>41085</v>
      </c>
      <c r="T25" s="301"/>
      <c r="U25" s="301">
        <v>22123</v>
      </c>
      <c r="V25" s="301">
        <v>0</v>
      </c>
      <c r="W25" s="302">
        <f t="shared" si="1"/>
        <v>798283.78308582562</v>
      </c>
      <c r="X25" s="301">
        <v>963</v>
      </c>
      <c r="Y25" s="301">
        <v>299</v>
      </c>
      <c r="Z25" s="303">
        <v>0.26100000000000001</v>
      </c>
      <c r="AA25" s="301">
        <v>40</v>
      </c>
      <c r="AB25" s="301">
        <v>40</v>
      </c>
      <c r="AC25" s="301">
        <v>0</v>
      </c>
      <c r="AD25" s="301">
        <v>0</v>
      </c>
      <c r="AE25" s="301">
        <v>0</v>
      </c>
    </row>
    <row r="26" spans="1:31" x14ac:dyDescent="0.25">
      <c r="A26" s="148">
        <v>5425</v>
      </c>
      <c r="B26" s="293" t="s">
        <v>121</v>
      </c>
      <c r="C26" s="301">
        <v>1680</v>
      </c>
      <c r="D26" s="304">
        <v>69</v>
      </c>
      <c r="E26" s="305">
        <v>0.57999999999999996</v>
      </c>
      <c r="F26" s="300">
        <v>2260553.27</v>
      </c>
      <c r="G26" s="301">
        <v>299564.74</v>
      </c>
      <c r="H26" s="301">
        <v>174781.45</v>
      </c>
      <c r="I26" s="301">
        <v>5609.7</v>
      </c>
      <c r="J26" s="301"/>
      <c r="K26" s="301">
        <v>5975.36</v>
      </c>
      <c r="L26" s="301">
        <v>-69246.740000000005</v>
      </c>
      <c r="M26" s="301">
        <v>0</v>
      </c>
      <c r="N26" s="302">
        <f t="shared" si="0"/>
        <v>17808.077586049567</v>
      </c>
      <c r="O26" s="301">
        <v>139594.15</v>
      </c>
      <c r="P26" s="301">
        <v>140620.87</v>
      </c>
      <c r="Q26" s="301">
        <v>19366.849999999999</v>
      </c>
      <c r="R26" s="301">
        <v>-154.55000000000001</v>
      </c>
      <c r="S26" s="301">
        <v>84247.7</v>
      </c>
      <c r="T26" s="301">
        <v>44470.2</v>
      </c>
      <c r="U26" s="301">
        <v>123095</v>
      </c>
      <c r="V26" s="301">
        <v>98968.25</v>
      </c>
      <c r="W26" s="302">
        <f t="shared" si="1"/>
        <v>3345254.3275860501</v>
      </c>
      <c r="X26" s="301">
        <v>2432</v>
      </c>
      <c r="Y26" s="301">
        <v>12</v>
      </c>
      <c r="Z26" s="303">
        <v>0.184</v>
      </c>
      <c r="AA26" s="301">
        <v>200</v>
      </c>
      <c r="AB26" s="301">
        <v>64</v>
      </c>
      <c r="AC26" s="301">
        <v>0</v>
      </c>
      <c r="AD26" s="301">
        <v>0</v>
      </c>
      <c r="AE26" s="301">
        <v>0</v>
      </c>
    </row>
    <row r="27" spans="1:31" x14ac:dyDescent="0.25">
      <c r="A27" s="148">
        <v>5426</v>
      </c>
      <c r="B27" s="293" t="s">
        <v>122</v>
      </c>
      <c r="C27" s="301">
        <v>511</v>
      </c>
      <c r="D27" s="304">
        <v>64.5</v>
      </c>
      <c r="E27" s="305">
        <v>1.2</v>
      </c>
      <c r="F27" s="300">
        <v>2319778.11</v>
      </c>
      <c r="G27" s="301">
        <v>830653.68</v>
      </c>
      <c r="H27" s="301">
        <v>38608.65</v>
      </c>
      <c r="I27" s="301">
        <v>1764.7</v>
      </c>
      <c r="J27" s="301">
        <v>932066.36</v>
      </c>
      <c r="K27" s="301">
        <v>6101.49</v>
      </c>
      <c r="L27" s="301">
        <v>-10920</v>
      </c>
      <c r="M27" s="301">
        <v>-200</v>
      </c>
      <c r="N27" s="302">
        <f t="shared" si="0"/>
        <v>3985.6265077789799</v>
      </c>
      <c r="O27" s="301">
        <v>347773.75</v>
      </c>
      <c r="P27" s="301">
        <v>16728.36</v>
      </c>
      <c r="Q27" s="301">
        <v>5671.8</v>
      </c>
      <c r="R27" s="301">
        <v>-2725.51</v>
      </c>
      <c r="S27" s="301">
        <v>32890</v>
      </c>
      <c r="T27" s="301">
        <v>991276.8</v>
      </c>
      <c r="U27" s="301">
        <v>101702.3</v>
      </c>
      <c r="V27" s="301">
        <v>7161</v>
      </c>
      <c r="W27" s="302">
        <f t="shared" si="1"/>
        <v>5622317.1165077798</v>
      </c>
      <c r="X27" s="301">
        <v>176</v>
      </c>
      <c r="Y27" s="301">
        <v>0</v>
      </c>
      <c r="Z27" s="303">
        <v>0.15</v>
      </c>
      <c r="AA27" s="301">
        <v>35</v>
      </c>
      <c r="AB27" s="301">
        <v>23</v>
      </c>
      <c r="AC27" s="301">
        <v>0</v>
      </c>
      <c r="AD27" s="301">
        <v>0</v>
      </c>
      <c r="AE27" s="301">
        <v>0</v>
      </c>
    </row>
    <row r="28" spans="1:31" x14ac:dyDescent="0.25">
      <c r="A28" s="148">
        <v>5427</v>
      </c>
      <c r="B28" s="293" t="s">
        <v>123</v>
      </c>
      <c r="C28" s="301">
        <v>919</v>
      </c>
      <c r="D28" s="304">
        <v>64</v>
      </c>
      <c r="E28" s="305">
        <v>1.3</v>
      </c>
      <c r="F28" s="453">
        <f>4325128.13-661000</f>
        <v>3664128.13</v>
      </c>
      <c r="G28" s="301">
        <v>1133203</v>
      </c>
      <c r="H28" s="301">
        <v>-11502.7</v>
      </c>
      <c r="I28" s="301">
        <v>16952.95</v>
      </c>
      <c r="J28" s="301">
        <v>764913.25</v>
      </c>
      <c r="K28" s="301">
        <v>1055.6099999999999</v>
      </c>
      <c r="L28" s="301">
        <v>-15833.94</v>
      </c>
      <c r="M28" s="301">
        <v>0</v>
      </c>
      <c r="N28" s="302">
        <f t="shared" si="0"/>
        <v>538.04454854557241</v>
      </c>
      <c r="O28" s="301">
        <v>498553.25</v>
      </c>
      <c r="P28" s="301">
        <v>-1910.87</v>
      </c>
      <c r="Q28" s="301">
        <v>14541.95</v>
      </c>
      <c r="R28" s="301">
        <v>-17413.25</v>
      </c>
      <c r="S28" s="301">
        <v>281228.2</v>
      </c>
      <c r="T28" s="301">
        <v>71250.7</v>
      </c>
      <c r="U28" s="301">
        <v>290362.2</v>
      </c>
      <c r="V28" s="301">
        <v>16404.099999999999</v>
      </c>
      <c r="W28" s="302">
        <f t="shared" si="1"/>
        <v>6706470.624548546</v>
      </c>
      <c r="X28" s="301">
        <v>267</v>
      </c>
      <c r="Y28" s="301">
        <v>0</v>
      </c>
      <c r="Z28" s="303">
        <v>7.1999999999999995E-2</v>
      </c>
      <c r="AA28" s="301">
        <v>95</v>
      </c>
      <c r="AB28" s="301">
        <v>49</v>
      </c>
      <c r="AC28" s="301">
        <v>0</v>
      </c>
      <c r="AD28" s="301">
        <v>0</v>
      </c>
      <c r="AE28" s="301">
        <v>0</v>
      </c>
    </row>
    <row r="29" spans="1:31" x14ac:dyDescent="0.25">
      <c r="A29" s="148">
        <v>5428</v>
      </c>
      <c r="B29" s="293" t="s">
        <v>124</v>
      </c>
      <c r="C29" s="301">
        <v>2458</v>
      </c>
      <c r="D29" s="304">
        <v>73</v>
      </c>
      <c r="E29" s="305">
        <v>1.2</v>
      </c>
      <c r="F29" s="300">
        <v>4206014.88</v>
      </c>
      <c r="G29" s="301">
        <v>569126.15</v>
      </c>
      <c r="H29" s="301">
        <v>100229.4</v>
      </c>
      <c r="I29" s="301">
        <v>28044.1</v>
      </c>
      <c r="J29" s="301"/>
      <c r="K29" s="301">
        <v>6750.57</v>
      </c>
      <c r="L29" s="301">
        <v>-69458.84</v>
      </c>
      <c r="M29" s="301">
        <v>0</v>
      </c>
      <c r="N29" s="302">
        <f t="shared" si="0"/>
        <v>12663.062684805373</v>
      </c>
      <c r="O29" s="301">
        <v>538304.44999999995</v>
      </c>
      <c r="P29" s="301">
        <v>169031.06</v>
      </c>
      <c r="Q29" s="301">
        <v>26188.9</v>
      </c>
      <c r="R29" s="301">
        <v>-11028.05</v>
      </c>
      <c r="S29" s="301">
        <v>149743.65</v>
      </c>
      <c r="T29" s="301">
        <v>51201.9</v>
      </c>
      <c r="U29" s="301">
        <v>158504.85</v>
      </c>
      <c r="V29" s="301">
        <v>202723.35</v>
      </c>
      <c r="W29" s="302">
        <f t="shared" si="1"/>
        <v>6138039.4326848062</v>
      </c>
      <c r="X29" s="301">
        <v>1881</v>
      </c>
      <c r="Y29" s="301">
        <v>717</v>
      </c>
      <c r="Z29" s="303">
        <v>0.157</v>
      </c>
      <c r="AA29" s="301">
        <v>343</v>
      </c>
      <c r="AB29" s="301">
        <v>105</v>
      </c>
      <c r="AC29" s="301">
        <v>0</v>
      </c>
      <c r="AD29" s="301">
        <v>0</v>
      </c>
      <c r="AE29" s="301">
        <v>0</v>
      </c>
    </row>
    <row r="30" spans="1:31" x14ac:dyDescent="0.25">
      <c r="A30" s="148">
        <v>5429</v>
      </c>
      <c r="B30" s="293" t="s">
        <v>125</v>
      </c>
      <c r="C30" s="301">
        <v>555</v>
      </c>
      <c r="D30" s="304">
        <v>77.5</v>
      </c>
      <c r="E30" s="305">
        <v>1</v>
      </c>
      <c r="F30" s="300">
        <v>1109567.6599999999</v>
      </c>
      <c r="G30" s="301">
        <v>148513.25</v>
      </c>
      <c r="H30" s="301">
        <v>1592.5</v>
      </c>
      <c r="I30" s="301">
        <v>3741.5</v>
      </c>
      <c r="J30" s="301"/>
      <c r="K30" s="301">
        <v>535.34</v>
      </c>
      <c r="L30" s="301">
        <v>-11269.5</v>
      </c>
      <c r="M30" s="301">
        <v>0</v>
      </c>
      <c r="N30" s="302">
        <f t="shared" si="0"/>
        <v>526.56843666659017</v>
      </c>
      <c r="O30" s="301">
        <v>117900.9</v>
      </c>
      <c r="P30" s="301">
        <v>17752.919999999998</v>
      </c>
      <c r="Q30" s="301">
        <v>2231.4499999999998</v>
      </c>
      <c r="R30" s="301">
        <v>-154.38999999999999</v>
      </c>
      <c r="S30" s="301">
        <v>26292.3</v>
      </c>
      <c r="T30" s="301"/>
      <c r="U30" s="301">
        <v>34537.4</v>
      </c>
      <c r="V30" s="301">
        <v>9146.9500000000007</v>
      </c>
      <c r="W30" s="302">
        <f t="shared" si="1"/>
        <v>1460914.8484366664</v>
      </c>
      <c r="X30" s="301">
        <v>945</v>
      </c>
      <c r="Y30" s="301">
        <v>555</v>
      </c>
      <c r="Z30" s="303">
        <v>0.14599999999999999</v>
      </c>
      <c r="AA30" s="301">
        <v>55</v>
      </c>
      <c r="AB30" s="301">
        <v>40</v>
      </c>
      <c r="AC30" s="301">
        <v>0</v>
      </c>
      <c r="AD30" s="301">
        <v>0</v>
      </c>
      <c r="AE30" s="301">
        <v>0</v>
      </c>
    </row>
    <row r="31" spans="1:31" x14ac:dyDescent="0.25">
      <c r="A31" s="148">
        <v>5430</v>
      </c>
      <c r="B31" s="293" t="s">
        <v>126</v>
      </c>
      <c r="C31" s="301">
        <v>510</v>
      </c>
      <c r="D31" s="304">
        <v>77.5</v>
      </c>
      <c r="E31" s="305">
        <v>1</v>
      </c>
      <c r="F31" s="300">
        <v>1020719.01</v>
      </c>
      <c r="G31" s="301">
        <v>114769.34</v>
      </c>
      <c r="H31" s="301">
        <v>3907.55</v>
      </c>
      <c r="I31" s="301">
        <v>386.7</v>
      </c>
      <c r="J31" s="301"/>
      <c r="K31" s="301">
        <v>7962.89</v>
      </c>
      <c r="L31" s="301">
        <v>1168.1300000000001</v>
      </c>
      <c r="M31" s="301">
        <v>0</v>
      </c>
      <c r="N31" s="302">
        <f t="shared" si="0"/>
        <v>423.92510482855357</v>
      </c>
      <c r="O31" s="301">
        <v>96803.5</v>
      </c>
      <c r="P31" s="301">
        <v>10661.05</v>
      </c>
      <c r="Q31" s="301">
        <v>1015.5</v>
      </c>
      <c r="R31" s="301">
        <v>-76.400000000000006</v>
      </c>
      <c r="S31" s="301">
        <v>22761.05</v>
      </c>
      <c r="T31" s="301">
        <v>3167.7</v>
      </c>
      <c r="U31" s="301">
        <v>4658.8500000000004</v>
      </c>
      <c r="V31" s="301">
        <v>14843</v>
      </c>
      <c r="W31" s="302">
        <f t="shared" si="1"/>
        <v>1303171.7951048287</v>
      </c>
      <c r="X31" s="301">
        <v>1193</v>
      </c>
      <c r="Y31" s="301">
        <v>510</v>
      </c>
      <c r="Z31" s="303">
        <v>0.157</v>
      </c>
      <c r="AA31" s="301">
        <v>55</v>
      </c>
      <c r="AB31" s="301">
        <v>35</v>
      </c>
      <c r="AC31" s="301">
        <v>0</v>
      </c>
      <c r="AD31" s="301">
        <v>0</v>
      </c>
      <c r="AE31" s="301">
        <v>0</v>
      </c>
    </row>
    <row r="32" spans="1:31" x14ac:dyDescent="0.25">
      <c r="A32" s="148">
        <v>5431</v>
      </c>
      <c r="B32" s="293" t="s">
        <v>127</v>
      </c>
      <c r="C32" s="301">
        <v>324</v>
      </c>
      <c r="D32" s="304">
        <v>74</v>
      </c>
      <c r="E32" s="305">
        <v>1</v>
      </c>
      <c r="F32" s="300">
        <v>652944.82999999996</v>
      </c>
      <c r="G32" s="301">
        <v>75394.09</v>
      </c>
      <c r="H32" s="301">
        <v>4258.2</v>
      </c>
      <c r="I32" s="301">
        <v>277.60000000000002</v>
      </c>
      <c r="J32" s="301"/>
      <c r="K32" s="301">
        <v>86.25</v>
      </c>
      <c r="L32" s="301">
        <v>-7385.76</v>
      </c>
      <c r="M32" s="301">
        <v>0</v>
      </c>
      <c r="N32" s="302">
        <f t="shared" si="0"/>
        <v>447.77073772634418</v>
      </c>
      <c r="O32" s="301">
        <v>52006.3</v>
      </c>
      <c r="P32" s="301">
        <v>13475.98</v>
      </c>
      <c r="Q32" s="301">
        <v>1133.5</v>
      </c>
      <c r="R32" s="301">
        <v>-732.48</v>
      </c>
      <c r="S32" s="301">
        <v>50150.95</v>
      </c>
      <c r="T32" s="301"/>
      <c r="U32" s="301">
        <v>65761.5</v>
      </c>
      <c r="V32" s="301">
        <v>0</v>
      </c>
      <c r="W32" s="302">
        <f t="shared" si="1"/>
        <v>907818.7307377262</v>
      </c>
      <c r="X32" s="301">
        <v>1099</v>
      </c>
      <c r="Y32" s="301">
        <v>283</v>
      </c>
      <c r="Z32" s="303">
        <v>0.20799999999999999</v>
      </c>
      <c r="AA32" s="301">
        <v>23</v>
      </c>
      <c r="AB32" s="301">
        <v>23</v>
      </c>
      <c r="AC32" s="301">
        <v>0</v>
      </c>
      <c r="AD32" s="301">
        <v>0</v>
      </c>
      <c r="AE32" s="301">
        <v>0</v>
      </c>
    </row>
    <row r="33" spans="1:31" x14ac:dyDescent="0.25">
      <c r="A33" s="148">
        <v>5434</v>
      </c>
      <c r="B33" s="293" t="s">
        <v>128</v>
      </c>
      <c r="C33" s="301">
        <v>1083</v>
      </c>
      <c r="D33" s="304">
        <v>69.5</v>
      </c>
      <c r="E33" s="305">
        <v>1.2</v>
      </c>
      <c r="F33" s="300">
        <v>2933694.43</v>
      </c>
      <c r="G33" s="301">
        <v>303036.45</v>
      </c>
      <c r="H33" s="301">
        <v>10627.35</v>
      </c>
      <c r="I33" s="301">
        <v>2605.35</v>
      </c>
      <c r="J33" s="301"/>
      <c r="K33" s="301">
        <v>0.55000000000000004</v>
      </c>
      <c r="L33" s="301">
        <v>-13073.19</v>
      </c>
      <c r="M33" s="301">
        <v>0</v>
      </c>
      <c r="N33" s="302">
        <f t="shared" si="0"/>
        <v>1306.3221132129711</v>
      </c>
      <c r="O33" s="301">
        <v>303342.2</v>
      </c>
      <c r="P33" s="301">
        <v>44624.43</v>
      </c>
      <c r="Q33" s="301">
        <v>4799.2</v>
      </c>
      <c r="R33" s="301">
        <v>-4140.55</v>
      </c>
      <c r="S33" s="301">
        <v>117020.75</v>
      </c>
      <c r="T33" s="301">
        <v>767</v>
      </c>
      <c r="U33" s="301">
        <v>20629.599999999999</v>
      </c>
      <c r="V33" s="301">
        <v>33647.599999999999</v>
      </c>
      <c r="W33" s="302">
        <f t="shared" si="1"/>
        <v>3758887.4921132145</v>
      </c>
      <c r="X33" s="301">
        <v>1228</v>
      </c>
      <c r="Y33" s="301">
        <v>1083</v>
      </c>
      <c r="Z33" s="303">
        <v>0.24399999999999999</v>
      </c>
      <c r="AA33" s="301">
        <v>128</v>
      </c>
      <c r="AB33" s="301">
        <v>88</v>
      </c>
      <c r="AC33" s="301">
        <v>0</v>
      </c>
      <c r="AD33" s="301">
        <v>0</v>
      </c>
      <c r="AE33" s="301">
        <v>0</v>
      </c>
    </row>
    <row r="34" spans="1:31" x14ac:dyDescent="0.25">
      <c r="A34" s="148">
        <v>5435</v>
      </c>
      <c r="B34" s="293" t="s">
        <v>129</v>
      </c>
      <c r="C34" s="301">
        <v>715</v>
      </c>
      <c r="D34" s="304">
        <v>69</v>
      </c>
      <c r="E34" s="305">
        <v>1</v>
      </c>
      <c r="F34" s="300">
        <v>1484375.2</v>
      </c>
      <c r="G34" s="301">
        <v>223844.79</v>
      </c>
      <c r="H34" s="301">
        <v>15318</v>
      </c>
      <c r="I34" s="301">
        <v>718.75</v>
      </c>
      <c r="J34" s="301"/>
      <c r="K34" s="301">
        <v>2285.16</v>
      </c>
      <c r="L34" s="301">
        <v>-19224.900000000001</v>
      </c>
      <c r="M34" s="301">
        <v>-400</v>
      </c>
      <c r="N34" s="302">
        <f t="shared" si="0"/>
        <v>1583.1358036582189</v>
      </c>
      <c r="O34" s="301">
        <v>142961.79999999999</v>
      </c>
      <c r="P34" s="301">
        <v>13301.02</v>
      </c>
      <c r="Q34" s="301"/>
      <c r="R34" s="301">
        <v>-1210.8699999999999</v>
      </c>
      <c r="S34" s="301">
        <v>59081.7</v>
      </c>
      <c r="T34" s="301"/>
      <c r="U34" s="301">
        <v>43047.95</v>
      </c>
      <c r="V34" s="301">
        <v>4996.1499999999996</v>
      </c>
      <c r="W34" s="302">
        <f t="shared" si="1"/>
        <v>1970677.885803658</v>
      </c>
      <c r="X34" s="301">
        <v>805</v>
      </c>
      <c r="Y34" s="301">
        <v>0</v>
      </c>
      <c r="Z34" s="303">
        <v>0.13300000000000001</v>
      </c>
      <c r="AA34" s="301">
        <v>81</v>
      </c>
      <c r="AB34" s="301">
        <v>46</v>
      </c>
      <c r="AC34" s="301">
        <v>0</v>
      </c>
      <c r="AD34" s="301">
        <v>0</v>
      </c>
      <c r="AE34" s="301">
        <v>0</v>
      </c>
    </row>
    <row r="35" spans="1:31" x14ac:dyDescent="0.25">
      <c r="A35" s="148">
        <v>5436</v>
      </c>
      <c r="B35" s="293" t="s">
        <v>130</v>
      </c>
      <c r="C35" s="301">
        <v>457</v>
      </c>
      <c r="D35" s="304">
        <v>79</v>
      </c>
      <c r="E35" s="305">
        <v>0.8</v>
      </c>
      <c r="F35" s="300">
        <v>1155575.57</v>
      </c>
      <c r="G35" s="301">
        <v>118224.83</v>
      </c>
      <c r="H35" s="301">
        <v>14333.15</v>
      </c>
      <c r="I35" s="301">
        <v>-3.9</v>
      </c>
      <c r="J35" s="301"/>
      <c r="K35" s="301"/>
      <c r="L35" s="301">
        <v>-3750.9</v>
      </c>
      <c r="M35" s="301">
        <v>0</v>
      </c>
      <c r="N35" s="302">
        <f t="shared" si="0"/>
        <v>1414.5726979948888</v>
      </c>
      <c r="O35" s="301">
        <v>74950.899999999994</v>
      </c>
      <c r="P35" s="301">
        <v>11084.6</v>
      </c>
      <c r="Q35" s="301"/>
      <c r="R35" s="301">
        <v>-1094.7</v>
      </c>
      <c r="S35" s="301">
        <v>88048.5</v>
      </c>
      <c r="T35" s="301"/>
      <c r="U35" s="301">
        <v>105928.65</v>
      </c>
      <c r="V35" s="301">
        <v>2310.6</v>
      </c>
      <c r="W35" s="302">
        <f t="shared" si="1"/>
        <v>1567021.8726979953</v>
      </c>
      <c r="X35" s="301">
        <v>303</v>
      </c>
      <c r="Y35" s="301">
        <v>332</v>
      </c>
      <c r="Z35" s="303">
        <v>8.8999999999999996E-2</v>
      </c>
      <c r="AA35" s="301">
        <v>60</v>
      </c>
      <c r="AB35" s="301">
        <v>11</v>
      </c>
      <c r="AC35" s="301">
        <v>0</v>
      </c>
      <c r="AD35" s="301">
        <v>0</v>
      </c>
      <c r="AE35" s="301">
        <v>0</v>
      </c>
    </row>
    <row r="36" spans="1:31" x14ac:dyDescent="0.25">
      <c r="A36" s="148">
        <v>5437</v>
      </c>
      <c r="B36" s="293" t="s">
        <v>131</v>
      </c>
      <c r="C36" s="301">
        <v>446</v>
      </c>
      <c r="D36" s="304">
        <v>80</v>
      </c>
      <c r="E36" s="305">
        <v>1</v>
      </c>
      <c r="F36" s="300">
        <v>863253.74</v>
      </c>
      <c r="G36" s="301">
        <v>78488.350000000006</v>
      </c>
      <c r="H36" s="301">
        <v>2226.25</v>
      </c>
      <c r="I36" s="301">
        <v>1843.95</v>
      </c>
      <c r="J36" s="301"/>
      <c r="K36" s="301">
        <v>1647.18</v>
      </c>
      <c r="L36" s="301">
        <v>-5555.99</v>
      </c>
      <c r="M36" s="301">
        <v>0</v>
      </c>
      <c r="N36" s="302">
        <f t="shared" si="0"/>
        <v>401.80705866523346</v>
      </c>
      <c r="O36" s="301">
        <v>85026.55</v>
      </c>
      <c r="P36" s="301">
        <v>28181.37</v>
      </c>
      <c r="Q36" s="301">
        <v>1421.35</v>
      </c>
      <c r="R36" s="301">
        <v>-46.3</v>
      </c>
      <c r="S36" s="301">
        <v>66757.75</v>
      </c>
      <c r="T36" s="301">
        <v>5054</v>
      </c>
      <c r="U36" s="301">
        <v>27476.799999999999</v>
      </c>
      <c r="V36" s="301">
        <v>1461.3</v>
      </c>
      <c r="W36" s="302">
        <f t="shared" si="1"/>
        <v>1157638.1070586655</v>
      </c>
      <c r="X36" s="301">
        <v>366</v>
      </c>
      <c r="Y36" s="301">
        <v>8</v>
      </c>
      <c r="Z36" s="303">
        <v>0.14799999999999999</v>
      </c>
      <c r="AA36" s="301">
        <v>61</v>
      </c>
      <c r="AB36" s="301">
        <v>44</v>
      </c>
      <c r="AC36" s="301">
        <v>0</v>
      </c>
      <c r="AD36" s="301">
        <v>0</v>
      </c>
      <c r="AE36" s="301">
        <v>0</v>
      </c>
    </row>
    <row r="37" spans="1:31" x14ac:dyDescent="0.25">
      <c r="A37" s="148">
        <v>5451</v>
      </c>
      <c r="B37" s="293" t="s">
        <v>132</v>
      </c>
      <c r="C37" s="301">
        <v>4895</v>
      </c>
      <c r="D37" s="304">
        <v>65</v>
      </c>
      <c r="E37" s="305">
        <v>1.5</v>
      </c>
      <c r="F37" s="300">
        <v>5219366.24</v>
      </c>
      <c r="G37" s="301">
        <v>607647.5</v>
      </c>
      <c r="H37" s="301">
        <v>1598449.15</v>
      </c>
      <c r="I37" s="301">
        <v>67039.7</v>
      </c>
      <c r="J37" s="301"/>
      <c r="K37" s="301">
        <v>33247.120000000003</v>
      </c>
      <c r="L37" s="301">
        <v>-173312.51</v>
      </c>
      <c r="M37" s="301">
        <v>-166.66</v>
      </c>
      <c r="N37" s="302">
        <f t="shared" si="0"/>
        <v>164415.79678105307</v>
      </c>
      <c r="O37" s="301">
        <v>1566282.95</v>
      </c>
      <c r="P37" s="301">
        <v>505417.57</v>
      </c>
      <c r="Q37" s="301">
        <v>168312.55</v>
      </c>
      <c r="R37" s="301">
        <v>-1405.22</v>
      </c>
      <c r="S37" s="301">
        <v>217083.1</v>
      </c>
      <c r="T37" s="301">
        <v>111982.8</v>
      </c>
      <c r="U37" s="301">
        <v>350331.85</v>
      </c>
      <c r="V37" s="301">
        <v>613940.9</v>
      </c>
      <c r="W37" s="302">
        <f t="shared" si="1"/>
        <v>11048632.836781055</v>
      </c>
      <c r="X37" s="301">
        <v>1922</v>
      </c>
      <c r="Y37" s="301">
        <v>0</v>
      </c>
      <c r="Z37" s="303">
        <v>5.1999999999999998E-2</v>
      </c>
      <c r="AA37" s="301">
        <v>668</v>
      </c>
      <c r="AB37" s="301">
        <v>139</v>
      </c>
      <c r="AC37" s="301">
        <v>330023</v>
      </c>
      <c r="AD37" s="301">
        <v>0</v>
      </c>
      <c r="AE37" s="301">
        <v>0</v>
      </c>
    </row>
    <row r="38" spans="1:31" x14ac:dyDescent="0.25">
      <c r="A38" s="148">
        <v>5456</v>
      </c>
      <c r="B38" s="293" t="s">
        <v>133</v>
      </c>
      <c r="C38" s="301">
        <v>1885</v>
      </c>
      <c r="D38" s="304">
        <v>59</v>
      </c>
      <c r="E38" s="305">
        <v>1.5</v>
      </c>
      <c r="F38" s="300">
        <v>3232494.66</v>
      </c>
      <c r="G38" s="301">
        <v>359506.79</v>
      </c>
      <c r="H38" s="301">
        <v>50631.8</v>
      </c>
      <c r="I38" s="301">
        <v>5455.25</v>
      </c>
      <c r="J38" s="301"/>
      <c r="K38" s="301">
        <v>3988.02</v>
      </c>
      <c r="L38" s="301">
        <v>-78155.7</v>
      </c>
      <c r="M38" s="301">
        <v>0</v>
      </c>
      <c r="N38" s="302">
        <f t="shared" si="0"/>
        <v>5536.8710603188747</v>
      </c>
      <c r="O38" s="301">
        <v>592462.25</v>
      </c>
      <c r="P38" s="301">
        <v>103250.65</v>
      </c>
      <c r="Q38" s="301">
        <v>9680.35</v>
      </c>
      <c r="R38" s="301">
        <v>-331</v>
      </c>
      <c r="S38" s="301">
        <v>207193.60000000001</v>
      </c>
      <c r="T38" s="301">
        <v>16662.5</v>
      </c>
      <c r="U38" s="301">
        <v>92460.95</v>
      </c>
      <c r="V38" s="301">
        <v>0</v>
      </c>
      <c r="W38" s="302">
        <f t="shared" si="1"/>
        <v>4600836.9910603184</v>
      </c>
      <c r="X38" s="301">
        <v>1451</v>
      </c>
      <c r="Y38" s="301">
        <v>0</v>
      </c>
      <c r="Z38" s="303">
        <v>2.8000000000000001E-2</v>
      </c>
      <c r="AA38" s="301">
        <v>228</v>
      </c>
      <c r="AB38" s="301">
        <v>114</v>
      </c>
      <c r="AC38" s="301">
        <v>0</v>
      </c>
      <c r="AD38" s="301">
        <v>0</v>
      </c>
      <c r="AE38" s="301">
        <v>0</v>
      </c>
    </row>
    <row r="39" spans="1:31" x14ac:dyDescent="0.25">
      <c r="A39" s="148">
        <v>5458</v>
      </c>
      <c r="B39" s="293" t="s">
        <v>134</v>
      </c>
      <c r="C39" s="301">
        <v>900</v>
      </c>
      <c r="D39" s="304">
        <v>65</v>
      </c>
      <c r="E39" s="305">
        <v>1.5</v>
      </c>
      <c r="F39" s="300">
        <v>1633208.95</v>
      </c>
      <c r="G39" s="301">
        <v>261871.87</v>
      </c>
      <c r="H39" s="301">
        <v>36582.699999999997</v>
      </c>
      <c r="I39" s="301">
        <v>4266.6499999999996</v>
      </c>
      <c r="J39" s="301"/>
      <c r="K39" s="301">
        <v>38080.620000000003</v>
      </c>
      <c r="L39" s="301">
        <v>-65761.320000000007</v>
      </c>
      <c r="M39" s="301">
        <v>0</v>
      </c>
      <c r="N39" s="302">
        <f t="shared" si="0"/>
        <v>4032.6168669565759</v>
      </c>
      <c r="O39" s="301">
        <v>301586.65000000002</v>
      </c>
      <c r="P39" s="301">
        <v>37990.71</v>
      </c>
      <c r="Q39" s="301">
        <v>13446.75</v>
      </c>
      <c r="R39" s="301">
        <v>-169.9</v>
      </c>
      <c r="S39" s="301">
        <v>67553.75</v>
      </c>
      <c r="T39" s="301">
        <v>8735.1</v>
      </c>
      <c r="U39" s="301">
        <v>81141.7</v>
      </c>
      <c r="V39" s="301">
        <v>8395.4</v>
      </c>
      <c r="W39" s="302">
        <f t="shared" si="1"/>
        <v>2430962.2468669564</v>
      </c>
      <c r="X39" s="301">
        <v>347</v>
      </c>
      <c r="Y39" s="301">
        <v>0</v>
      </c>
      <c r="Z39" s="303">
        <v>3.1E-2</v>
      </c>
      <c r="AA39" s="301">
        <v>90</v>
      </c>
      <c r="AB39" s="301">
        <v>60</v>
      </c>
      <c r="AC39" s="301">
        <v>0</v>
      </c>
      <c r="AD39" s="301">
        <v>0</v>
      </c>
      <c r="AE39" s="301">
        <v>0</v>
      </c>
    </row>
    <row r="40" spans="1:31" x14ac:dyDescent="0.25">
      <c r="A40" s="148">
        <v>5464</v>
      </c>
      <c r="B40" s="293" t="s">
        <v>135</v>
      </c>
      <c r="C40" s="301">
        <v>3639</v>
      </c>
      <c r="D40" s="304">
        <v>67</v>
      </c>
      <c r="E40" s="305">
        <v>1.5</v>
      </c>
      <c r="F40" s="300">
        <v>6221410.2599999998</v>
      </c>
      <c r="G40" s="301">
        <v>1198273.56</v>
      </c>
      <c r="H40" s="301">
        <v>68275.95</v>
      </c>
      <c r="I40" s="301">
        <v>6437.2</v>
      </c>
      <c r="J40" s="301">
        <v>36844.300000000003</v>
      </c>
      <c r="K40" s="301">
        <v>32718.560000000001</v>
      </c>
      <c r="L40" s="301">
        <v>-108781.32</v>
      </c>
      <c r="M40" s="301">
        <v>-166.66</v>
      </c>
      <c r="N40" s="302">
        <f t="shared" si="0"/>
        <v>7375.6255331714374</v>
      </c>
      <c r="O40" s="301">
        <v>1197142.2</v>
      </c>
      <c r="P40" s="301">
        <v>95060.71</v>
      </c>
      <c r="Q40" s="301">
        <v>-8866.7000000000007</v>
      </c>
      <c r="R40" s="301">
        <v>-5331</v>
      </c>
      <c r="S40" s="301">
        <v>391922.55</v>
      </c>
      <c r="T40" s="301">
        <v>79416</v>
      </c>
      <c r="U40" s="301">
        <v>246262.9</v>
      </c>
      <c r="V40" s="301">
        <v>2999.75</v>
      </c>
      <c r="W40" s="302">
        <f t="shared" si="1"/>
        <v>9460993.8855331726</v>
      </c>
      <c r="X40" s="301">
        <v>2027</v>
      </c>
      <c r="Y40" s="301">
        <v>0</v>
      </c>
      <c r="Z40" s="303">
        <v>6.2E-2</v>
      </c>
      <c r="AA40" s="301">
        <v>433</v>
      </c>
      <c r="AB40" s="301">
        <v>265</v>
      </c>
      <c r="AC40" s="301">
        <v>0</v>
      </c>
      <c r="AD40" s="301">
        <v>0</v>
      </c>
      <c r="AE40" s="301">
        <v>0</v>
      </c>
    </row>
    <row r="41" spans="1:31" x14ac:dyDescent="0.25">
      <c r="A41" s="148">
        <v>5471</v>
      </c>
      <c r="B41" s="293" t="s">
        <v>136</v>
      </c>
      <c r="C41" s="301">
        <v>653</v>
      </c>
      <c r="D41" s="304">
        <v>70</v>
      </c>
      <c r="E41" s="305">
        <v>0.9</v>
      </c>
      <c r="F41" s="300">
        <v>1356409.98</v>
      </c>
      <c r="G41" s="301">
        <v>115531.43</v>
      </c>
      <c r="H41" s="301">
        <v>28429.5</v>
      </c>
      <c r="I41" s="301">
        <v>3133.8</v>
      </c>
      <c r="J41" s="301"/>
      <c r="K41" s="301">
        <v>3567.81</v>
      </c>
      <c r="L41" s="301">
        <v>-32768.050000000003</v>
      </c>
      <c r="M41" s="301">
        <v>0</v>
      </c>
      <c r="N41" s="302">
        <f t="shared" si="0"/>
        <v>3115.9050500634767</v>
      </c>
      <c r="O41" s="301">
        <v>125914.35</v>
      </c>
      <c r="P41" s="301">
        <v>42256.22</v>
      </c>
      <c r="Q41" s="301">
        <v>5494.75</v>
      </c>
      <c r="R41" s="301">
        <v>-15.2</v>
      </c>
      <c r="S41" s="301">
        <v>119507.45</v>
      </c>
      <c r="T41" s="301"/>
      <c r="U41" s="301">
        <v>91470.9</v>
      </c>
      <c r="V41" s="301">
        <v>7016.6</v>
      </c>
      <c r="W41" s="302">
        <f t="shared" si="1"/>
        <v>1869065.4450500635</v>
      </c>
      <c r="X41" s="301">
        <v>369</v>
      </c>
      <c r="Y41" s="301">
        <v>0</v>
      </c>
      <c r="Z41" s="303">
        <v>4.1000000000000002E-2</v>
      </c>
      <c r="AA41" s="301">
        <v>85</v>
      </c>
      <c r="AB41" s="301">
        <v>66</v>
      </c>
      <c r="AC41" s="301">
        <v>0</v>
      </c>
      <c r="AD41" s="301">
        <v>0</v>
      </c>
      <c r="AE41" s="301">
        <v>0</v>
      </c>
    </row>
    <row r="42" spans="1:31" x14ac:dyDescent="0.25">
      <c r="A42" s="148">
        <v>5472</v>
      </c>
      <c r="B42" s="293" t="s">
        <v>137</v>
      </c>
      <c r="C42" s="301">
        <v>532</v>
      </c>
      <c r="D42" s="304">
        <v>65</v>
      </c>
      <c r="E42" s="305">
        <v>1</v>
      </c>
      <c r="F42" s="300">
        <v>1021286.05</v>
      </c>
      <c r="G42" s="301">
        <v>161821.66</v>
      </c>
      <c r="H42" s="301">
        <v>-22124.05</v>
      </c>
      <c r="I42" s="301">
        <v>1495.3</v>
      </c>
      <c r="J42" s="301"/>
      <c r="K42" s="301"/>
      <c r="L42" s="301">
        <v>-9923.1200000000008</v>
      </c>
      <c r="M42" s="301">
        <v>0</v>
      </c>
      <c r="N42" s="302">
        <f t="shared" si="0"/>
        <v>-2036.4545627832624</v>
      </c>
      <c r="O42" s="301">
        <v>120911.7</v>
      </c>
      <c r="P42" s="301">
        <v>14559.17</v>
      </c>
      <c r="Q42" s="301">
        <v>1255.75</v>
      </c>
      <c r="R42" s="301">
        <v>-667.4</v>
      </c>
      <c r="S42" s="301">
        <v>71532.95</v>
      </c>
      <c r="T42" s="301"/>
      <c r="U42" s="301">
        <v>43646.65</v>
      </c>
      <c r="V42" s="301">
        <v>0</v>
      </c>
      <c r="W42" s="302">
        <f t="shared" si="1"/>
        <v>1401758.2054372164</v>
      </c>
      <c r="X42" s="301">
        <v>386</v>
      </c>
      <c r="Y42" s="301">
        <v>0</v>
      </c>
      <c r="Z42" s="303">
        <v>1.6E-2</v>
      </c>
      <c r="AA42" s="301">
        <v>55</v>
      </c>
      <c r="AB42" s="301">
        <v>34</v>
      </c>
      <c r="AC42" s="301">
        <v>0</v>
      </c>
      <c r="AD42" s="301">
        <v>0</v>
      </c>
      <c r="AE42" s="301">
        <v>0</v>
      </c>
    </row>
    <row r="43" spans="1:31" x14ac:dyDescent="0.25">
      <c r="A43" s="148">
        <v>5473</v>
      </c>
      <c r="B43" s="293" t="s">
        <v>138</v>
      </c>
      <c r="C43" s="301">
        <v>1007</v>
      </c>
      <c r="D43" s="304">
        <v>64</v>
      </c>
      <c r="E43" s="305">
        <v>1</v>
      </c>
      <c r="F43" s="300">
        <v>1990735.75</v>
      </c>
      <c r="G43" s="301">
        <v>218311.19</v>
      </c>
      <c r="H43" s="301">
        <v>24779.200000000001</v>
      </c>
      <c r="I43" s="301">
        <v>3503.75</v>
      </c>
      <c r="J43" s="301"/>
      <c r="K43" s="301"/>
      <c r="L43" s="301">
        <v>-11408.43</v>
      </c>
      <c r="M43" s="301">
        <v>-150</v>
      </c>
      <c r="N43" s="302">
        <f t="shared" si="0"/>
        <v>2792.0713846680424</v>
      </c>
      <c r="O43" s="301">
        <v>207637</v>
      </c>
      <c r="P43" s="301">
        <v>28555.37</v>
      </c>
      <c r="Q43" s="301">
        <v>8170.35</v>
      </c>
      <c r="R43" s="301">
        <v>-198.05</v>
      </c>
      <c r="S43" s="301">
        <v>73823.350000000006</v>
      </c>
      <c r="T43" s="301"/>
      <c r="U43" s="301">
        <v>58172.95</v>
      </c>
      <c r="V43" s="301">
        <v>6281.35</v>
      </c>
      <c r="W43" s="302">
        <f t="shared" si="1"/>
        <v>2611005.8513846686</v>
      </c>
      <c r="X43" s="301">
        <v>318</v>
      </c>
      <c r="Y43" s="301">
        <v>0</v>
      </c>
      <c r="Z43" s="303">
        <v>4.0000000000000001E-3</v>
      </c>
      <c r="AA43" s="301">
        <v>160</v>
      </c>
      <c r="AB43" s="301">
        <v>96</v>
      </c>
      <c r="AC43" s="301">
        <v>0</v>
      </c>
      <c r="AD43" s="301">
        <v>0</v>
      </c>
      <c r="AE43" s="301">
        <v>0</v>
      </c>
    </row>
    <row r="44" spans="1:31" x14ac:dyDescent="0.25">
      <c r="A44" s="148">
        <v>5474</v>
      </c>
      <c r="B44" s="293" t="s">
        <v>139</v>
      </c>
      <c r="C44" s="301">
        <v>436</v>
      </c>
      <c r="D44" s="304">
        <v>76</v>
      </c>
      <c r="E44" s="305">
        <v>1.2</v>
      </c>
      <c r="F44" s="300">
        <v>836779.13</v>
      </c>
      <c r="G44" s="301">
        <v>86894.99</v>
      </c>
      <c r="H44" s="301">
        <v>5994</v>
      </c>
      <c r="I44" s="301">
        <v>4026.1</v>
      </c>
      <c r="J44" s="301"/>
      <c r="K44" s="301">
        <v>7693.87</v>
      </c>
      <c r="L44" s="301">
        <v>-22212.65</v>
      </c>
      <c r="M44" s="301">
        <v>0</v>
      </c>
      <c r="N44" s="302">
        <f t="shared" si="0"/>
        <v>989.17667646098619</v>
      </c>
      <c r="O44" s="301">
        <v>93222.3</v>
      </c>
      <c r="P44" s="301">
        <v>9797.6</v>
      </c>
      <c r="Q44" s="301">
        <v>804.45</v>
      </c>
      <c r="R44" s="301">
        <v>-367.05</v>
      </c>
      <c r="S44" s="301">
        <v>44734.400000000001</v>
      </c>
      <c r="T44" s="301">
        <v>33750.400000000001</v>
      </c>
      <c r="U44" s="301">
        <v>16547.8</v>
      </c>
      <c r="V44" s="301">
        <v>3549.4</v>
      </c>
      <c r="W44" s="302">
        <f t="shared" si="1"/>
        <v>1122203.9166764608</v>
      </c>
      <c r="X44" s="301">
        <v>674</v>
      </c>
      <c r="Y44" s="301">
        <v>0</v>
      </c>
      <c r="Z44" s="303">
        <v>4.2000000000000003E-2</v>
      </c>
      <c r="AA44" s="301">
        <v>58</v>
      </c>
      <c r="AB44" s="301">
        <v>58</v>
      </c>
      <c r="AC44" s="301">
        <v>0</v>
      </c>
      <c r="AD44" s="301">
        <v>0</v>
      </c>
      <c r="AE44" s="301">
        <v>0</v>
      </c>
    </row>
    <row r="45" spans="1:31" x14ac:dyDescent="0.25">
      <c r="A45" s="148">
        <v>5475</v>
      </c>
      <c r="B45" s="293" t="s">
        <v>140</v>
      </c>
      <c r="C45" s="301">
        <v>160</v>
      </c>
      <c r="D45" s="304">
        <v>75</v>
      </c>
      <c r="E45" s="305">
        <v>1</v>
      </c>
      <c r="F45" s="300">
        <v>234626.47</v>
      </c>
      <c r="G45" s="301">
        <v>43308.53</v>
      </c>
      <c r="H45" s="301">
        <v>-2054.0500000000002</v>
      </c>
      <c r="I45" s="301">
        <v>184.5</v>
      </c>
      <c r="J45" s="301"/>
      <c r="K45" s="301"/>
      <c r="L45" s="301">
        <v>170.25</v>
      </c>
      <c r="M45" s="301">
        <v>0</v>
      </c>
      <c r="N45" s="302">
        <f t="shared" si="0"/>
        <v>-184.5605588245264</v>
      </c>
      <c r="O45" s="301">
        <v>27379.3</v>
      </c>
      <c r="P45" s="301">
        <v>3211.27</v>
      </c>
      <c r="Q45" s="301"/>
      <c r="R45" s="301">
        <v>0</v>
      </c>
      <c r="S45" s="301">
        <v>58245</v>
      </c>
      <c r="T45" s="301"/>
      <c r="U45" s="301">
        <v>64082.9</v>
      </c>
      <c r="V45" s="301">
        <v>0</v>
      </c>
      <c r="W45" s="302">
        <f t="shared" si="1"/>
        <v>428969.60944117553</v>
      </c>
      <c r="X45" s="301">
        <v>264</v>
      </c>
      <c r="Y45" s="301">
        <v>0</v>
      </c>
      <c r="Z45" s="303">
        <v>6.0999999999999999E-2</v>
      </c>
      <c r="AA45" s="301">
        <v>28</v>
      </c>
      <c r="AB45" s="301">
        <v>13</v>
      </c>
      <c r="AC45" s="301">
        <v>0</v>
      </c>
      <c r="AD45" s="301">
        <v>0</v>
      </c>
      <c r="AE45" s="301">
        <v>0</v>
      </c>
    </row>
    <row r="46" spans="1:31" x14ac:dyDescent="0.25">
      <c r="A46" s="148">
        <v>5476</v>
      </c>
      <c r="B46" s="293" t="s">
        <v>141</v>
      </c>
      <c r="C46" s="301">
        <v>346</v>
      </c>
      <c r="D46" s="304">
        <v>70</v>
      </c>
      <c r="E46" s="305">
        <v>1</v>
      </c>
      <c r="F46" s="300">
        <v>679585.5</v>
      </c>
      <c r="G46" s="301">
        <v>104153.5</v>
      </c>
      <c r="H46" s="301">
        <v>8403.15</v>
      </c>
      <c r="I46" s="301">
        <v>68.95</v>
      </c>
      <c r="J46" s="301"/>
      <c r="K46" s="301"/>
      <c r="L46" s="301">
        <v>-28195.74</v>
      </c>
      <c r="M46" s="301">
        <v>0</v>
      </c>
      <c r="N46" s="302">
        <f t="shared" si="0"/>
        <v>836.35928989182958</v>
      </c>
      <c r="O46" s="301">
        <v>64025.599999999999</v>
      </c>
      <c r="P46" s="301">
        <v>8117.93</v>
      </c>
      <c r="Q46" s="301"/>
      <c r="R46" s="301">
        <v>0</v>
      </c>
      <c r="S46" s="301">
        <v>57200</v>
      </c>
      <c r="T46" s="301">
        <v>312</v>
      </c>
      <c r="U46" s="301">
        <v>3681.35</v>
      </c>
      <c r="V46" s="301">
        <v>0</v>
      </c>
      <c r="W46" s="302">
        <f t="shared" si="1"/>
        <v>898188.59928989178</v>
      </c>
      <c r="X46" s="301">
        <v>381</v>
      </c>
      <c r="Y46" s="301">
        <v>0</v>
      </c>
      <c r="Z46" s="303">
        <v>9.0999999999999998E-2</v>
      </c>
      <c r="AA46" s="301">
        <v>47</v>
      </c>
      <c r="AB46" s="301">
        <v>47</v>
      </c>
      <c r="AC46" s="301">
        <v>0</v>
      </c>
      <c r="AD46" s="301">
        <v>0</v>
      </c>
      <c r="AE46" s="301">
        <v>0</v>
      </c>
    </row>
    <row r="47" spans="1:31" x14ac:dyDescent="0.25">
      <c r="A47" s="148">
        <v>5477</v>
      </c>
      <c r="B47" s="293" t="s">
        <v>142</v>
      </c>
      <c r="C47" s="301">
        <v>4902</v>
      </c>
      <c r="D47" s="304">
        <v>68</v>
      </c>
      <c r="E47" s="305">
        <v>1</v>
      </c>
      <c r="F47" s="300">
        <v>9339538.0600000005</v>
      </c>
      <c r="G47" s="301">
        <v>1133733.04</v>
      </c>
      <c r="H47" s="301">
        <v>590561.6</v>
      </c>
      <c r="I47" s="301">
        <v>28739.65</v>
      </c>
      <c r="J47" s="301"/>
      <c r="K47" s="301">
        <v>4883.88</v>
      </c>
      <c r="L47" s="301">
        <v>-48904.52</v>
      </c>
      <c r="M47" s="301">
        <v>-250</v>
      </c>
      <c r="N47" s="302">
        <f t="shared" si="0"/>
        <v>61136.949950912094</v>
      </c>
      <c r="O47" s="301">
        <v>907531.25</v>
      </c>
      <c r="P47" s="301">
        <v>263251.78999999998</v>
      </c>
      <c r="Q47" s="301">
        <v>64814</v>
      </c>
      <c r="R47" s="301">
        <v>-2189.1</v>
      </c>
      <c r="S47" s="301">
        <v>1126268.95</v>
      </c>
      <c r="T47" s="301">
        <v>646711.5</v>
      </c>
      <c r="U47" s="301">
        <v>300417</v>
      </c>
      <c r="V47" s="301">
        <v>203349.35</v>
      </c>
      <c r="W47" s="302">
        <f t="shared" si="1"/>
        <v>14619593.399950914</v>
      </c>
      <c r="X47" s="301">
        <v>818</v>
      </c>
      <c r="Y47" s="301">
        <v>0</v>
      </c>
      <c r="Z47" s="303">
        <v>0.06</v>
      </c>
      <c r="AA47" s="301">
        <v>568</v>
      </c>
      <c r="AB47" s="301">
        <v>59</v>
      </c>
      <c r="AC47" s="301">
        <v>0</v>
      </c>
      <c r="AD47" s="301">
        <v>0</v>
      </c>
      <c r="AE47" s="301">
        <v>0</v>
      </c>
    </row>
    <row r="48" spans="1:31" x14ac:dyDescent="0.25">
      <c r="A48" s="148">
        <v>5479</v>
      </c>
      <c r="B48" s="293" t="s">
        <v>143</v>
      </c>
      <c r="C48" s="301">
        <v>561</v>
      </c>
      <c r="D48" s="304">
        <v>76</v>
      </c>
      <c r="E48" s="305">
        <v>1</v>
      </c>
      <c r="F48" s="300">
        <v>1138989.81</v>
      </c>
      <c r="G48" s="301">
        <v>189168.96</v>
      </c>
      <c r="H48" s="301">
        <v>18432.849999999999</v>
      </c>
      <c r="I48" s="301">
        <v>227.7</v>
      </c>
      <c r="J48" s="301"/>
      <c r="K48" s="301">
        <v>5996.81</v>
      </c>
      <c r="L48" s="301">
        <v>-16400.77</v>
      </c>
      <c r="M48" s="301">
        <v>0</v>
      </c>
      <c r="N48" s="302">
        <f t="shared" si="0"/>
        <v>1842.1553507384212</v>
      </c>
      <c r="O48" s="301">
        <v>99340.45</v>
      </c>
      <c r="P48" s="301">
        <v>16723.59</v>
      </c>
      <c r="Q48" s="301">
        <v>2288</v>
      </c>
      <c r="R48" s="301">
        <v>-979.15</v>
      </c>
      <c r="S48" s="301">
        <v>18698.25</v>
      </c>
      <c r="T48" s="301">
        <v>7456.5</v>
      </c>
      <c r="U48" s="301">
        <v>12343.8</v>
      </c>
      <c r="V48" s="301">
        <v>1838.5</v>
      </c>
      <c r="W48" s="302">
        <f t="shared" si="1"/>
        <v>1495967.4553507387</v>
      </c>
      <c r="X48" s="301">
        <v>704</v>
      </c>
      <c r="Y48" s="301">
        <v>0</v>
      </c>
      <c r="Z48" s="303">
        <v>2.1000000000000001E-2</v>
      </c>
      <c r="AA48" s="301">
        <v>76</v>
      </c>
      <c r="AB48" s="301">
        <v>33</v>
      </c>
      <c r="AC48" s="301">
        <v>0</v>
      </c>
      <c r="AD48" s="301">
        <v>0</v>
      </c>
      <c r="AE48" s="301">
        <v>0</v>
      </c>
    </row>
    <row r="49" spans="1:31" x14ac:dyDescent="0.25">
      <c r="A49" s="148">
        <v>5480</v>
      </c>
      <c r="B49" s="293" t="s">
        <v>144</v>
      </c>
      <c r="C49" s="301">
        <v>1099</v>
      </c>
      <c r="D49" s="304">
        <v>66</v>
      </c>
      <c r="E49" s="305">
        <v>1.2</v>
      </c>
      <c r="F49" s="300">
        <v>2308541.4399999999</v>
      </c>
      <c r="G49" s="301">
        <v>359150.54</v>
      </c>
      <c r="H49" s="301">
        <v>240117.6</v>
      </c>
      <c r="I49" s="301">
        <v>-6843.85</v>
      </c>
      <c r="J49" s="301"/>
      <c r="K49" s="301">
        <v>1238.28</v>
      </c>
      <c r="L49" s="301">
        <v>-65065.599999999999</v>
      </c>
      <c r="M49" s="301">
        <v>0</v>
      </c>
      <c r="N49" s="302">
        <f t="shared" si="0"/>
        <v>23028.607771438506</v>
      </c>
      <c r="O49" s="301">
        <v>408000.3</v>
      </c>
      <c r="P49" s="301">
        <v>56333.919999999998</v>
      </c>
      <c r="Q49" s="301">
        <v>13078.7</v>
      </c>
      <c r="R49" s="301">
        <v>-1600.42</v>
      </c>
      <c r="S49" s="301">
        <v>235792.2</v>
      </c>
      <c r="T49" s="301">
        <v>83161.7</v>
      </c>
      <c r="U49" s="301">
        <v>48757.25</v>
      </c>
      <c r="V49" s="301">
        <v>169170.25</v>
      </c>
      <c r="W49" s="302">
        <f t="shared" si="1"/>
        <v>3872860.9177714386</v>
      </c>
      <c r="X49" s="301">
        <v>546</v>
      </c>
      <c r="Y49" s="301">
        <v>0</v>
      </c>
      <c r="Z49" s="303">
        <v>9.4E-2</v>
      </c>
      <c r="AA49" s="301">
        <v>166</v>
      </c>
      <c r="AB49" s="301">
        <v>110</v>
      </c>
      <c r="AC49" s="301">
        <v>0</v>
      </c>
      <c r="AD49" s="301">
        <v>0</v>
      </c>
      <c r="AE49" s="301">
        <v>0</v>
      </c>
    </row>
    <row r="50" spans="1:31" x14ac:dyDescent="0.25">
      <c r="A50" s="148">
        <v>5481</v>
      </c>
      <c r="B50" s="293" t="s">
        <v>145</v>
      </c>
      <c r="C50" s="301">
        <v>238</v>
      </c>
      <c r="D50" s="304">
        <v>75</v>
      </c>
      <c r="E50" s="305">
        <v>1</v>
      </c>
      <c r="F50" s="453">
        <f>750341.4-272000</f>
        <v>478341.4</v>
      </c>
      <c r="G50" s="301">
        <v>85145.51</v>
      </c>
      <c r="H50" s="301">
        <v>44187.25</v>
      </c>
      <c r="I50" s="301">
        <v>391.4</v>
      </c>
      <c r="J50" s="301"/>
      <c r="K50" s="301"/>
      <c r="L50" s="301">
        <v>-2852.98</v>
      </c>
      <c r="M50" s="301">
        <v>0</v>
      </c>
      <c r="N50" s="302">
        <f t="shared" si="0"/>
        <v>4400.7705360343252</v>
      </c>
      <c r="O50" s="301">
        <v>42351.1</v>
      </c>
      <c r="P50" s="301">
        <v>4980.2700000000004</v>
      </c>
      <c r="Q50" s="301"/>
      <c r="R50" s="301">
        <v>0</v>
      </c>
      <c r="S50" s="301">
        <v>14520</v>
      </c>
      <c r="T50" s="301">
        <v>62.5</v>
      </c>
      <c r="U50" s="301">
        <v>27407.5</v>
      </c>
      <c r="V50" s="301">
        <v>0</v>
      </c>
      <c r="W50" s="302">
        <f t="shared" si="1"/>
        <v>698934.72053603444</v>
      </c>
      <c r="X50" s="301">
        <v>304</v>
      </c>
      <c r="Y50" s="301">
        <v>0</v>
      </c>
      <c r="Z50" s="303">
        <v>3.5000000000000003E-2</v>
      </c>
      <c r="AA50" s="301">
        <v>35</v>
      </c>
      <c r="AB50" s="301">
        <v>35</v>
      </c>
      <c r="AC50" s="301">
        <v>0</v>
      </c>
      <c r="AD50" s="301">
        <v>0</v>
      </c>
      <c r="AE50" s="301">
        <v>0</v>
      </c>
    </row>
    <row r="51" spans="1:31" x14ac:dyDescent="0.25">
      <c r="A51" s="148">
        <v>5482</v>
      </c>
      <c r="B51" s="293" t="s">
        <v>146</v>
      </c>
      <c r="C51" s="301">
        <v>1211</v>
      </c>
      <c r="D51" s="304">
        <v>46</v>
      </c>
      <c r="E51" s="305">
        <v>1</v>
      </c>
      <c r="F51" s="300">
        <v>1363516.07</v>
      </c>
      <c r="G51" s="301">
        <v>180568.03</v>
      </c>
      <c r="H51" s="452">
        <f>372760.55-172000</f>
        <v>200760.55</v>
      </c>
      <c r="I51" s="301">
        <v>5564.55</v>
      </c>
      <c r="J51" s="301"/>
      <c r="K51" s="301">
        <v>14227.49</v>
      </c>
      <c r="L51" s="301">
        <v>-30197.040000000001</v>
      </c>
      <c r="M51" s="301">
        <v>0</v>
      </c>
      <c r="N51" s="302">
        <f t="shared" si="0"/>
        <v>20368.257471330686</v>
      </c>
      <c r="O51" s="301">
        <v>454670.8</v>
      </c>
      <c r="P51" s="301">
        <v>81331.199999999997</v>
      </c>
      <c r="Q51" s="301">
        <v>23193.3</v>
      </c>
      <c r="R51" s="301">
        <v>-275.85000000000002</v>
      </c>
      <c r="S51" s="301">
        <v>36669.699999999997</v>
      </c>
      <c r="T51" s="301"/>
      <c r="U51" s="301">
        <v>50775.9</v>
      </c>
      <c r="V51" s="301">
        <v>562868</v>
      </c>
      <c r="W51" s="302">
        <f t="shared" si="1"/>
        <v>2964040.9574713307</v>
      </c>
      <c r="X51" s="301">
        <v>576</v>
      </c>
      <c r="Y51" s="301">
        <v>0</v>
      </c>
      <c r="Z51" s="303">
        <v>0.125</v>
      </c>
      <c r="AA51" s="301">
        <v>162</v>
      </c>
      <c r="AB51" s="301">
        <v>4</v>
      </c>
      <c r="AC51" s="301">
        <v>0</v>
      </c>
      <c r="AD51" s="301">
        <v>0</v>
      </c>
      <c r="AE51" s="301">
        <v>0</v>
      </c>
    </row>
    <row r="52" spans="1:31" x14ac:dyDescent="0.25">
      <c r="A52" s="148">
        <v>5483</v>
      </c>
      <c r="B52" s="293" t="s">
        <v>147</v>
      </c>
      <c r="C52" s="301">
        <v>309</v>
      </c>
      <c r="D52" s="304">
        <v>76</v>
      </c>
      <c r="E52" s="305">
        <v>1</v>
      </c>
      <c r="F52" s="300">
        <v>723872.68</v>
      </c>
      <c r="G52" s="301">
        <v>82293.279999999999</v>
      </c>
      <c r="H52" s="301">
        <v>-3154.25</v>
      </c>
      <c r="I52" s="301">
        <v>1722.6</v>
      </c>
      <c r="J52" s="301"/>
      <c r="K52" s="301"/>
      <c r="L52" s="301">
        <v>-11798.06</v>
      </c>
      <c r="M52" s="301">
        <v>0</v>
      </c>
      <c r="N52" s="302">
        <f t="shared" si="0"/>
        <v>-141.33140276597749</v>
      </c>
      <c r="O52" s="301">
        <v>58650.400000000001</v>
      </c>
      <c r="P52" s="301">
        <v>184.35</v>
      </c>
      <c r="Q52" s="301">
        <v>175.5</v>
      </c>
      <c r="R52" s="301">
        <v>-940.71</v>
      </c>
      <c r="S52" s="301">
        <v>15400</v>
      </c>
      <c r="T52" s="301"/>
      <c r="U52" s="301">
        <v>15106.45</v>
      </c>
      <c r="V52" s="301">
        <v>2280.15</v>
      </c>
      <c r="W52" s="302">
        <f t="shared" si="1"/>
        <v>883651.05859723408</v>
      </c>
      <c r="X52" s="301">
        <v>315</v>
      </c>
      <c r="Y52" s="301">
        <v>0</v>
      </c>
      <c r="Z52" s="303">
        <v>3.5999999999999997E-2</v>
      </c>
      <c r="AA52" s="301">
        <v>36</v>
      </c>
      <c r="AB52" s="301">
        <v>29</v>
      </c>
      <c r="AC52" s="301">
        <v>0</v>
      </c>
      <c r="AD52" s="301">
        <v>0</v>
      </c>
      <c r="AE52" s="301">
        <v>0</v>
      </c>
    </row>
    <row r="53" spans="1:31" x14ac:dyDescent="0.25">
      <c r="A53" s="148">
        <v>5484</v>
      </c>
      <c r="B53" s="293" t="s">
        <v>148</v>
      </c>
      <c r="C53" s="301">
        <v>1064</v>
      </c>
      <c r="D53" s="304">
        <v>74</v>
      </c>
      <c r="E53" s="305">
        <v>1</v>
      </c>
      <c r="F53" s="300">
        <v>1960655.88</v>
      </c>
      <c r="G53" s="301">
        <v>300828.42</v>
      </c>
      <c r="H53" s="301">
        <v>857.15</v>
      </c>
      <c r="I53" s="301">
        <v>2745.45</v>
      </c>
      <c r="J53" s="301"/>
      <c r="K53" s="301">
        <v>3405.85</v>
      </c>
      <c r="L53" s="301">
        <v>-17091.62</v>
      </c>
      <c r="M53" s="301">
        <v>-300</v>
      </c>
      <c r="N53" s="302">
        <f t="shared" si="0"/>
        <v>355.64594112018329</v>
      </c>
      <c r="O53" s="301">
        <v>214766.3</v>
      </c>
      <c r="P53" s="301">
        <v>22142.720000000001</v>
      </c>
      <c r="Q53" s="301">
        <v>6883.15</v>
      </c>
      <c r="R53" s="301">
        <v>-339.85</v>
      </c>
      <c r="S53" s="301">
        <v>50178.05</v>
      </c>
      <c r="T53" s="301">
        <v>45248.6</v>
      </c>
      <c r="U53" s="301">
        <v>130881.9</v>
      </c>
      <c r="V53" s="301">
        <v>45273.95</v>
      </c>
      <c r="W53" s="302">
        <f t="shared" si="1"/>
        <v>2766491.5959411198</v>
      </c>
      <c r="X53" s="301">
        <v>546</v>
      </c>
      <c r="Y53" s="301">
        <v>0</v>
      </c>
      <c r="Z53" s="303">
        <v>7.9000000000000001E-2</v>
      </c>
      <c r="AA53" s="301">
        <v>137</v>
      </c>
      <c r="AB53" s="301">
        <v>60</v>
      </c>
      <c r="AC53" s="301">
        <v>0</v>
      </c>
      <c r="AD53" s="301">
        <v>0</v>
      </c>
      <c r="AE53" s="301">
        <v>0</v>
      </c>
    </row>
    <row r="54" spans="1:31" x14ac:dyDescent="0.25">
      <c r="A54" s="148">
        <v>5485</v>
      </c>
      <c r="B54" s="293" t="s">
        <v>149</v>
      </c>
      <c r="C54" s="301">
        <v>540</v>
      </c>
      <c r="D54" s="304">
        <v>70</v>
      </c>
      <c r="E54" s="305">
        <v>1</v>
      </c>
      <c r="F54" s="300">
        <v>1486538.47</v>
      </c>
      <c r="G54" s="301">
        <v>221042.37</v>
      </c>
      <c r="H54" s="301">
        <v>16257.45</v>
      </c>
      <c r="I54" s="301">
        <v>8745.15</v>
      </c>
      <c r="J54" s="301"/>
      <c r="K54" s="301">
        <v>721.08</v>
      </c>
      <c r="L54" s="301">
        <v>-1608.69</v>
      </c>
      <c r="M54" s="301">
        <v>0</v>
      </c>
      <c r="N54" s="302">
        <f t="shared" si="0"/>
        <v>2468.2377192726071</v>
      </c>
      <c r="O54" s="301">
        <v>106710.85</v>
      </c>
      <c r="P54" s="301">
        <v>11949.79</v>
      </c>
      <c r="Q54" s="301">
        <v>2031.25</v>
      </c>
      <c r="R54" s="301">
        <v>-3350.45</v>
      </c>
      <c r="S54" s="301">
        <v>65285</v>
      </c>
      <c r="T54" s="301">
        <v>31727.9</v>
      </c>
      <c r="U54" s="301">
        <v>44814.85</v>
      </c>
      <c r="V54" s="301">
        <v>6368.85</v>
      </c>
      <c r="W54" s="302">
        <f t="shared" si="1"/>
        <v>1999702.1077192726</v>
      </c>
      <c r="X54" s="301">
        <v>563</v>
      </c>
      <c r="Y54" s="301">
        <v>0</v>
      </c>
      <c r="Z54" s="303">
        <v>2.3E-2</v>
      </c>
      <c r="AA54" s="301">
        <v>73</v>
      </c>
      <c r="AB54" s="301">
        <v>57</v>
      </c>
      <c r="AC54" s="301">
        <v>0</v>
      </c>
      <c r="AD54" s="301">
        <v>0</v>
      </c>
      <c r="AE54" s="301">
        <v>0</v>
      </c>
    </row>
    <row r="55" spans="1:31" x14ac:dyDescent="0.25">
      <c r="A55" s="148">
        <v>5486</v>
      </c>
      <c r="B55" s="293" t="s">
        <v>150</v>
      </c>
      <c r="C55" s="301">
        <v>1096</v>
      </c>
      <c r="D55" s="304">
        <v>75</v>
      </c>
      <c r="E55" s="305">
        <v>1</v>
      </c>
      <c r="F55" s="300">
        <v>2115826.85</v>
      </c>
      <c r="G55" s="301">
        <v>362759.93</v>
      </c>
      <c r="H55" s="301">
        <v>33908.550000000003</v>
      </c>
      <c r="I55" s="301">
        <v>16482.55</v>
      </c>
      <c r="J55" s="301"/>
      <c r="K55" s="301">
        <v>3185.17</v>
      </c>
      <c r="L55" s="301">
        <v>-13751.9</v>
      </c>
      <c r="M55" s="301">
        <v>0</v>
      </c>
      <c r="N55" s="302">
        <f t="shared" si="0"/>
        <v>4974.5711940213378</v>
      </c>
      <c r="O55" s="301">
        <v>211183.2</v>
      </c>
      <c r="P55" s="301">
        <v>27797.14</v>
      </c>
      <c r="Q55" s="301">
        <v>11654.25</v>
      </c>
      <c r="R55" s="301">
        <v>-1738.85</v>
      </c>
      <c r="S55" s="301">
        <v>75903.350000000006</v>
      </c>
      <c r="T55" s="301">
        <v>114475.5</v>
      </c>
      <c r="U55" s="301">
        <v>67029</v>
      </c>
      <c r="V55" s="301">
        <v>48981.1</v>
      </c>
      <c r="W55" s="302">
        <f t="shared" si="1"/>
        <v>3078670.4111940218</v>
      </c>
      <c r="X55" s="301">
        <v>1619</v>
      </c>
      <c r="Y55" s="301">
        <v>108</v>
      </c>
      <c r="Z55" s="303">
        <v>0.122</v>
      </c>
      <c r="AA55" s="301">
        <v>123</v>
      </c>
      <c r="AB55" s="301">
        <v>105</v>
      </c>
      <c r="AC55" s="301">
        <v>0</v>
      </c>
      <c r="AD55" s="301">
        <v>0</v>
      </c>
      <c r="AE55" s="301">
        <v>0</v>
      </c>
    </row>
    <row r="56" spans="1:31" x14ac:dyDescent="0.25">
      <c r="A56" s="148">
        <v>5487</v>
      </c>
      <c r="B56" s="293" t="s">
        <v>151</v>
      </c>
      <c r="C56" s="301">
        <v>468</v>
      </c>
      <c r="D56" s="304">
        <v>75</v>
      </c>
      <c r="E56" s="305">
        <v>1</v>
      </c>
      <c r="F56" s="300">
        <v>887875.9</v>
      </c>
      <c r="G56" s="301">
        <v>128241.13</v>
      </c>
      <c r="H56" s="301">
        <v>6473.7</v>
      </c>
      <c r="I56" s="301">
        <v>129.75</v>
      </c>
      <c r="J56" s="301"/>
      <c r="K56" s="301">
        <v>17538.34</v>
      </c>
      <c r="L56" s="301">
        <v>-14874.42</v>
      </c>
      <c r="M56" s="301">
        <v>0</v>
      </c>
      <c r="N56" s="302">
        <f t="shared" si="0"/>
        <v>651.88757838507593</v>
      </c>
      <c r="O56" s="301">
        <v>85279.85</v>
      </c>
      <c r="P56" s="301">
        <v>18332.07</v>
      </c>
      <c r="Q56" s="301">
        <v>993.25</v>
      </c>
      <c r="R56" s="301">
        <v>0</v>
      </c>
      <c r="S56" s="301">
        <v>36080</v>
      </c>
      <c r="T56" s="301">
        <v>4669.5</v>
      </c>
      <c r="U56" s="301">
        <v>44120.75</v>
      </c>
      <c r="V56" s="301">
        <v>0</v>
      </c>
      <c r="W56" s="302">
        <f t="shared" si="1"/>
        <v>1215511.707578385</v>
      </c>
      <c r="X56" s="301">
        <v>367</v>
      </c>
      <c r="Y56" s="301">
        <v>0</v>
      </c>
      <c r="Z56" s="303">
        <v>2.3E-2</v>
      </c>
      <c r="AA56" s="301">
        <v>50</v>
      </c>
      <c r="AB56" s="301">
        <v>47</v>
      </c>
      <c r="AC56" s="301">
        <v>0</v>
      </c>
      <c r="AD56" s="301">
        <v>0</v>
      </c>
      <c r="AE56" s="301">
        <v>0</v>
      </c>
    </row>
    <row r="57" spans="1:31" x14ac:dyDescent="0.25">
      <c r="A57" s="148">
        <v>5488</v>
      </c>
      <c r="B57" s="293" t="s">
        <v>152</v>
      </c>
      <c r="C57" s="301">
        <v>67</v>
      </c>
      <c r="D57" s="304">
        <v>77</v>
      </c>
      <c r="E57" s="305">
        <v>1</v>
      </c>
      <c r="F57" s="300">
        <v>119419.17</v>
      </c>
      <c r="G57" s="301">
        <v>15520.1</v>
      </c>
      <c r="H57" s="301">
        <v>155.5</v>
      </c>
      <c r="I57" s="301">
        <v>142</v>
      </c>
      <c r="J57" s="301"/>
      <c r="K57" s="301"/>
      <c r="L57" s="301">
        <v>-117.49</v>
      </c>
      <c r="M57" s="301">
        <v>0</v>
      </c>
      <c r="N57" s="302">
        <f t="shared" si="0"/>
        <v>29.368974485997484</v>
      </c>
      <c r="O57" s="301">
        <v>10658</v>
      </c>
      <c r="P57" s="301">
        <v>-309.79000000000002</v>
      </c>
      <c r="Q57" s="301"/>
      <c r="R57" s="301">
        <v>0</v>
      </c>
      <c r="S57" s="301"/>
      <c r="T57" s="301"/>
      <c r="U57" s="301"/>
      <c r="V57" s="301">
        <v>0</v>
      </c>
      <c r="W57" s="302">
        <f t="shared" si="1"/>
        <v>145496.85897448598</v>
      </c>
      <c r="X57" s="301">
        <v>46</v>
      </c>
      <c r="Y57" s="301">
        <v>0</v>
      </c>
      <c r="Z57" s="303">
        <v>7.9000000000000001E-2</v>
      </c>
      <c r="AA57" s="301">
        <v>7</v>
      </c>
      <c r="AB57" s="301">
        <v>7</v>
      </c>
      <c r="AC57" s="301">
        <v>0</v>
      </c>
      <c r="AD57" s="301">
        <v>0</v>
      </c>
      <c r="AE57" s="301">
        <v>0</v>
      </c>
    </row>
    <row r="58" spans="1:31" x14ac:dyDescent="0.25">
      <c r="A58" s="148">
        <v>5489</v>
      </c>
      <c r="B58" s="293" t="s">
        <v>153</v>
      </c>
      <c r="C58" s="301">
        <v>809</v>
      </c>
      <c r="D58" s="304">
        <v>59.5</v>
      </c>
      <c r="E58" s="305">
        <v>1</v>
      </c>
      <c r="F58" s="300">
        <v>1928136.38</v>
      </c>
      <c r="G58" s="301">
        <v>736308.32</v>
      </c>
      <c r="H58" s="452">
        <f>1435720.1-435000</f>
        <v>1000720.1000000001</v>
      </c>
      <c r="I58" s="301">
        <v>7845.2</v>
      </c>
      <c r="J58" s="301"/>
      <c r="K58" s="301">
        <v>4459.1400000000003</v>
      </c>
      <c r="L58" s="301">
        <v>-13111.91</v>
      </c>
      <c r="M58" s="301">
        <v>-316</v>
      </c>
      <c r="N58" s="302">
        <f t="shared" si="0"/>
        <v>99564.801892982854</v>
      </c>
      <c r="O58" s="301">
        <v>311406.90000000002</v>
      </c>
      <c r="P58" s="301">
        <v>27761.9</v>
      </c>
      <c r="Q58" s="301">
        <v>9590.5</v>
      </c>
      <c r="R58" s="301">
        <v>-337.25</v>
      </c>
      <c r="S58" s="301">
        <v>23980</v>
      </c>
      <c r="T58" s="301">
        <v>3111.9</v>
      </c>
      <c r="U58" s="301">
        <v>43317.15</v>
      </c>
      <c r="V58" s="301">
        <v>226939.06</v>
      </c>
      <c r="W58" s="302">
        <f t="shared" si="1"/>
        <v>4409376.1918929825</v>
      </c>
      <c r="X58" s="301">
        <v>290</v>
      </c>
      <c r="Y58" s="301">
        <v>0</v>
      </c>
      <c r="Z58" s="303">
        <v>6.5000000000000002E-2</v>
      </c>
      <c r="AA58" s="301">
        <v>83</v>
      </c>
      <c r="AB58" s="301">
        <v>58</v>
      </c>
      <c r="AC58" s="301">
        <v>0</v>
      </c>
      <c r="AD58" s="301">
        <v>0</v>
      </c>
      <c r="AE58" s="301">
        <v>0</v>
      </c>
    </row>
    <row r="59" spans="1:31" x14ac:dyDescent="0.25">
      <c r="A59" s="148">
        <v>5490</v>
      </c>
      <c r="B59" s="293" t="s">
        <v>154</v>
      </c>
      <c r="C59" s="301">
        <v>299</v>
      </c>
      <c r="D59" s="304">
        <v>76</v>
      </c>
      <c r="E59" s="305">
        <v>1</v>
      </c>
      <c r="F59" s="300">
        <v>460764.66</v>
      </c>
      <c r="G59" s="301">
        <v>81708.649999999994</v>
      </c>
      <c r="H59" s="301">
        <v>23135.55</v>
      </c>
      <c r="I59" s="301">
        <v>38.75</v>
      </c>
      <c r="J59" s="301"/>
      <c r="K59" s="301">
        <v>8010.98</v>
      </c>
      <c r="L59" s="301">
        <v>-20687.330000000002</v>
      </c>
      <c r="M59" s="301">
        <v>0</v>
      </c>
      <c r="N59" s="302">
        <f t="shared" si="0"/>
        <v>2287.7493291793326</v>
      </c>
      <c r="O59" s="301">
        <v>49288.5</v>
      </c>
      <c r="P59" s="301">
        <v>10081.25</v>
      </c>
      <c r="Q59" s="301"/>
      <c r="R59" s="301">
        <v>0</v>
      </c>
      <c r="S59" s="301">
        <v>28640</v>
      </c>
      <c r="T59" s="452">
        <f>132838.1-137474</f>
        <v>-4635.8999999999942</v>
      </c>
      <c r="U59" s="301">
        <v>15995.9</v>
      </c>
      <c r="V59" s="301">
        <v>0</v>
      </c>
      <c r="W59" s="302">
        <f t="shared" si="1"/>
        <v>654628.7593291793</v>
      </c>
      <c r="X59" s="301">
        <v>667</v>
      </c>
      <c r="Y59" s="301">
        <v>0</v>
      </c>
      <c r="Z59" s="303">
        <v>0.02</v>
      </c>
      <c r="AA59" s="301">
        <v>45</v>
      </c>
      <c r="AB59" s="301">
        <v>30</v>
      </c>
      <c r="AC59" s="301">
        <v>0</v>
      </c>
      <c r="AD59" s="301">
        <v>0</v>
      </c>
      <c r="AE59" s="301">
        <v>0</v>
      </c>
    </row>
    <row r="60" spans="1:31" x14ac:dyDescent="0.25">
      <c r="A60" s="148">
        <v>5491</v>
      </c>
      <c r="B60" s="293" t="s">
        <v>155</v>
      </c>
      <c r="C60" s="301">
        <v>495</v>
      </c>
      <c r="D60" s="304">
        <v>76</v>
      </c>
      <c r="E60" s="305">
        <v>1</v>
      </c>
      <c r="F60" s="300">
        <v>808216.41</v>
      </c>
      <c r="G60" s="301">
        <v>111602.61</v>
      </c>
      <c r="H60" s="301">
        <v>-2601.5500000000002</v>
      </c>
      <c r="I60" s="301">
        <v>2884.6</v>
      </c>
      <c r="J60" s="301"/>
      <c r="K60" s="301">
        <v>35030.28</v>
      </c>
      <c r="L60" s="301">
        <v>-490.67</v>
      </c>
      <c r="M60" s="301">
        <v>0</v>
      </c>
      <c r="N60" s="302">
        <f t="shared" si="0"/>
        <v>27.942481439534721</v>
      </c>
      <c r="O60" s="301">
        <v>95817.9</v>
      </c>
      <c r="P60" s="301">
        <v>15056.83</v>
      </c>
      <c r="Q60" s="301">
        <v>425</v>
      </c>
      <c r="R60" s="301">
        <v>-99.15</v>
      </c>
      <c r="S60" s="301">
        <v>39930</v>
      </c>
      <c r="T60" s="301">
        <v>2943.4</v>
      </c>
      <c r="U60" s="301">
        <v>55933.05</v>
      </c>
      <c r="V60" s="301">
        <v>777.55</v>
      </c>
      <c r="W60" s="302">
        <f t="shared" si="1"/>
        <v>1165454.2024814396</v>
      </c>
      <c r="X60" s="301">
        <v>1978</v>
      </c>
      <c r="Y60" s="301">
        <v>495</v>
      </c>
      <c r="Z60" s="303">
        <v>0.14899999999999999</v>
      </c>
      <c r="AA60" s="301">
        <v>59</v>
      </c>
      <c r="AB60" s="301">
        <v>43</v>
      </c>
      <c r="AC60" s="301">
        <v>0</v>
      </c>
      <c r="AD60" s="301">
        <v>0</v>
      </c>
      <c r="AE60" s="301">
        <v>0</v>
      </c>
    </row>
    <row r="61" spans="1:31" x14ac:dyDescent="0.25">
      <c r="A61" s="148">
        <v>5492</v>
      </c>
      <c r="B61" s="293" t="s">
        <v>156</v>
      </c>
      <c r="C61" s="301">
        <v>943</v>
      </c>
      <c r="D61" s="304">
        <v>64</v>
      </c>
      <c r="E61" s="305">
        <v>0.3</v>
      </c>
      <c r="F61" s="300">
        <v>6802789.5099999998</v>
      </c>
      <c r="G61" s="301">
        <v>5543097.3600000003</v>
      </c>
      <c r="H61" s="301">
        <v>49633.55</v>
      </c>
      <c r="I61" s="301">
        <v>2953.2</v>
      </c>
      <c r="J61" s="301"/>
      <c r="K61" s="301">
        <v>6079.59</v>
      </c>
      <c r="L61" s="301">
        <v>-23429.119999999999</v>
      </c>
      <c r="M61" s="301">
        <v>-879</v>
      </c>
      <c r="N61" s="302">
        <f t="shared" si="0"/>
        <v>5191.3240976521956</v>
      </c>
      <c r="O61" s="301">
        <v>76556.55</v>
      </c>
      <c r="P61" s="301">
        <v>42243.24</v>
      </c>
      <c r="Q61" s="301">
        <v>5630.8</v>
      </c>
      <c r="R61" s="301">
        <v>-7370.65</v>
      </c>
      <c r="S61" s="301">
        <v>29712.5</v>
      </c>
      <c r="T61" s="452">
        <f>2870519.3-2652000</f>
        <v>218519.29999999981</v>
      </c>
      <c r="U61" s="301">
        <v>57339.95</v>
      </c>
      <c r="V61" s="301">
        <v>5271.85</v>
      </c>
      <c r="W61" s="302">
        <f t="shared" si="1"/>
        <v>12813339.954097653</v>
      </c>
      <c r="X61" s="301">
        <v>2579</v>
      </c>
      <c r="Y61" s="301">
        <v>718</v>
      </c>
      <c r="Z61" s="303">
        <v>0.27700000000000002</v>
      </c>
      <c r="AA61" s="301">
        <v>91</v>
      </c>
      <c r="AB61" s="301">
        <v>53</v>
      </c>
      <c r="AC61" s="301">
        <v>0</v>
      </c>
      <c r="AD61" s="301">
        <v>0</v>
      </c>
      <c r="AE61" s="301">
        <v>0</v>
      </c>
    </row>
    <row r="62" spans="1:31" x14ac:dyDescent="0.25">
      <c r="A62" s="148">
        <v>5493</v>
      </c>
      <c r="B62" s="293" t="s">
        <v>157</v>
      </c>
      <c r="C62" s="301">
        <v>497</v>
      </c>
      <c r="D62" s="304">
        <v>73</v>
      </c>
      <c r="E62" s="305">
        <v>0.65</v>
      </c>
      <c r="F62" s="300">
        <v>867805.57</v>
      </c>
      <c r="G62" s="301">
        <v>135726.70000000001</v>
      </c>
      <c r="H62" s="301">
        <v>57828.6</v>
      </c>
      <c r="I62" s="301">
        <v>1292.45</v>
      </c>
      <c r="J62" s="301"/>
      <c r="K62" s="301">
        <v>9252.0300000000007</v>
      </c>
      <c r="L62" s="301">
        <v>-8637.16</v>
      </c>
      <c r="M62" s="301">
        <v>0</v>
      </c>
      <c r="N62" s="302">
        <f t="shared" si="0"/>
        <v>5836.3852404550635</v>
      </c>
      <c r="O62" s="301">
        <v>55254.9</v>
      </c>
      <c r="P62" s="301">
        <v>21034.01</v>
      </c>
      <c r="Q62" s="301">
        <v>3791.05</v>
      </c>
      <c r="R62" s="301">
        <v>-1978.64</v>
      </c>
      <c r="S62" s="301">
        <v>26061</v>
      </c>
      <c r="T62" s="301">
        <v>3762.6</v>
      </c>
      <c r="U62" s="301">
        <v>28236.55</v>
      </c>
      <c r="V62" s="301">
        <v>63177.25</v>
      </c>
      <c r="W62" s="302">
        <f t="shared" si="1"/>
        <v>1268443.2952404555</v>
      </c>
      <c r="X62" s="301">
        <v>545</v>
      </c>
      <c r="Y62" s="301">
        <v>0</v>
      </c>
      <c r="Z62" s="303">
        <v>8.1000000000000003E-2</v>
      </c>
      <c r="AA62" s="301">
        <v>54</v>
      </c>
      <c r="AB62" s="301">
        <v>1</v>
      </c>
      <c r="AC62" s="301">
        <v>0</v>
      </c>
      <c r="AD62" s="301">
        <v>0</v>
      </c>
      <c r="AE62" s="301">
        <v>0</v>
      </c>
    </row>
    <row r="63" spans="1:31" x14ac:dyDescent="0.25">
      <c r="A63" s="148">
        <v>5495</v>
      </c>
      <c r="B63" s="293" t="s">
        <v>158</v>
      </c>
      <c r="C63" s="301">
        <v>3177</v>
      </c>
      <c r="D63" s="304">
        <v>72.5</v>
      </c>
      <c r="E63" s="305">
        <v>1</v>
      </c>
      <c r="F63" s="300">
        <v>5347643.9800000004</v>
      </c>
      <c r="G63" s="301">
        <v>647359.04</v>
      </c>
      <c r="H63" s="301">
        <v>115039.35</v>
      </c>
      <c r="I63" s="301">
        <v>10891.4</v>
      </c>
      <c r="J63" s="301">
        <v>100147.7</v>
      </c>
      <c r="K63" s="301">
        <v>29114.47</v>
      </c>
      <c r="L63" s="301">
        <v>-94057.97</v>
      </c>
      <c r="M63" s="301">
        <v>-23050</v>
      </c>
      <c r="N63" s="302">
        <f t="shared" si="0"/>
        <v>12431.788180680765</v>
      </c>
      <c r="O63" s="301">
        <v>545636.19999999995</v>
      </c>
      <c r="P63" s="301">
        <v>192035.45</v>
      </c>
      <c r="Q63" s="301">
        <v>99419.65</v>
      </c>
      <c r="R63" s="301">
        <v>-198.5</v>
      </c>
      <c r="S63" s="301">
        <v>122587.05</v>
      </c>
      <c r="T63" s="301">
        <v>69504</v>
      </c>
      <c r="U63" s="301">
        <v>198222.3</v>
      </c>
      <c r="V63" s="301">
        <v>390397.05</v>
      </c>
      <c r="W63" s="302">
        <f t="shared" si="1"/>
        <v>7763122.9581806818</v>
      </c>
      <c r="X63" s="301">
        <v>380</v>
      </c>
      <c r="Y63" s="301">
        <v>0</v>
      </c>
      <c r="Z63" s="303">
        <v>9.0999999999999998E-2</v>
      </c>
      <c r="AA63" s="301">
        <v>425</v>
      </c>
      <c r="AB63" s="301">
        <v>164</v>
      </c>
      <c r="AC63" s="301">
        <v>0</v>
      </c>
      <c r="AD63" s="301">
        <v>0</v>
      </c>
      <c r="AE63" s="301">
        <v>0</v>
      </c>
    </row>
    <row r="64" spans="1:31" x14ac:dyDescent="0.25">
      <c r="A64" s="148">
        <v>5496</v>
      </c>
      <c r="B64" s="293" t="s">
        <v>159</v>
      </c>
      <c r="C64" s="301">
        <v>1946</v>
      </c>
      <c r="D64" s="304">
        <v>69.5</v>
      </c>
      <c r="E64" s="305">
        <v>1</v>
      </c>
      <c r="F64" s="300">
        <v>3470732.33</v>
      </c>
      <c r="G64" s="301">
        <v>361360.94</v>
      </c>
      <c r="H64" s="301">
        <v>106613.25</v>
      </c>
      <c r="I64" s="301">
        <v>17801.8</v>
      </c>
      <c r="J64" s="301"/>
      <c r="K64" s="301">
        <v>15184.16</v>
      </c>
      <c r="L64" s="301">
        <v>-69168.78</v>
      </c>
      <c r="M64" s="301">
        <v>0</v>
      </c>
      <c r="N64" s="302">
        <f t="shared" si="0"/>
        <v>12282.159425627231</v>
      </c>
      <c r="O64" s="301">
        <v>383756.79999999999</v>
      </c>
      <c r="P64" s="301">
        <v>83816.800000000003</v>
      </c>
      <c r="Q64" s="301">
        <v>26336.6</v>
      </c>
      <c r="R64" s="301">
        <v>-518.25</v>
      </c>
      <c r="S64" s="301">
        <v>75610.100000000006</v>
      </c>
      <c r="T64" s="301">
        <v>5906.6</v>
      </c>
      <c r="U64" s="301">
        <v>-1887.3</v>
      </c>
      <c r="V64" s="301">
        <v>89105.3</v>
      </c>
      <c r="W64" s="302">
        <f t="shared" si="1"/>
        <v>4576932.5094256261</v>
      </c>
      <c r="X64" s="301">
        <v>371</v>
      </c>
      <c r="Y64" s="301">
        <v>0</v>
      </c>
      <c r="Z64" s="303">
        <v>0.06</v>
      </c>
      <c r="AA64" s="301">
        <v>291</v>
      </c>
      <c r="AB64" s="301">
        <v>155</v>
      </c>
      <c r="AC64" s="301">
        <v>0</v>
      </c>
      <c r="AD64" s="301">
        <v>0</v>
      </c>
      <c r="AE64" s="301">
        <v>0</v>
      </c>
    </row>
    <row r="65" spans="1:31" x14ac:dyDescent="0.25">
      <c r="A65" s="148">
        <v>5497</v>
      </c>
      <c r="B65" s="293" t="s">
        <v>160</v>
      </c>
      <c r="C65" s="301">
        <v>930</v>
      </c>
      <c r="D65" s="304">
        <v>66</v>
      </c>
      <c r="E65" s="305">
        <v>1</v>
      </c>
      <c r="F65" s="300">
        <v>1364562.68</v>
      </c>
      <c r="G65" s="301">
        <v>141243.59</v>
      </c>
      <c r="H65" s="301">
        <v>182404.6</v>
      </c>
      <c r="I65" s="301">
        <v>2114.9499999999998</v>
      </c>
      <c r="J65" s="301"/>
      <c r="K65" s="301">
        <v>9432.6</v>
      </c>
      <c r="L65" s="301">
        <v>-24720.62</v>
      </c>
      <c r="M65" s="301">
        <v>0</v>
      </c>
      <c r="N65" s="302">
        <f t="shared" si="0"/>
        <v>18215.630104597436</v>
      </c>
      <c r="O65" s="301">
        <v>142877.65</v>
      </c>
      <c r="P65" s="301">
        <v>92621.04</v>
      </c>
      <c r="Q65" s="301">
        <v>4323.2</v>
      </c>
      <c r="R65" s="301">
        <v>-113.15</v>
      </c>
      <c r="S65" s="301">
        <v>36430.35</v>
      </c>
      <c r="T65" s="301">
        <v>746.7</v>
      </c>
      <c r="U65" s="301">
        <v>84686.2</v>
      </c>
      <c r="V65" s="301">
        <v>246282.7</v>
      </c>
      <c r="W65" s="302">
        <f t="shared" si="1"/>
        <v>2301108.1201045974</v>
      </c>
      <c r="X65" s="301">
        <v>440</v>
      </c>
      <c r="Y65" s="301">
        <v>0</v>
      </c>
      <c r="Z65" s="303">
        <v>8.1000000000000003E-2</v>
      </c>
      <c r="AA65" s="301">
        <v>103</v>
      </c>
      <c r="AB65" s="301">
        <v>11</v>
      </c>
      <c r="AC65" s="301">
        <v>0</v>
      </c>
      <c r="AD65" s="301">
        <v>0</v>
      </c>
      <c r="AE65" s="301">
        <v>0</v>
      </c>
    </row>
    <row r="66" spans="1:31" x14ac:dyDescent="0.25">
      <c r="A66" s="148">
        <v>5498</v>
      </c>
      <c r="B66" s="293" t="s">
        <v>161</v>
      </c>
      <c r="C66" s="301">
        <v>2618</v>
      </c>
      <c r="D66" s="304">
        <v>70</v>
      </c>
      <c r="E66" s="305">
        <v>1</v>
      </c>
      <c r="F66" s="300">
        <v>4069549.72</v>
      </c>
      <c r="G66" s="301">
        <v>524217.21</v>
      </c>
      <c r="H66" s="301">
        <v>142365.70000000001</v>
      </c>
      <c r="I66" s="301">
        <v>14697.85</v>
      </c>
      <c r="J66" s="301"/>
      <c r="K66" s="301">
        <v>48856.29</v>
      </c>
      <c r="L66" s="301">
        <v>-72552.09</v>
      </c>
      <c r="M66" s="301">
        <v>-3100</v>
      </c>
      <c r="N66" s="302">
        <f t="shared" si="0"/>
        <v>15505.194597076272</v>
      </c>
      <c r="O66" s="301">
        <v>425606.7</v>
      </c>
      <c r="P66" s="301">
        <v>145301.63</v>
      </c>
      <c r="Q66" s="301">
        <v>48765.8</v>
      </c>
      <c r="R66" s="301">
        <v>-114.7</v>
      </c>
      <c r="S66" s="301">
        <v>99173.3</v>
      </c>
      <c r="T66" s="301">
        <v>217661.5</v>
      </c>
      <c r="U66" s="301">
        <v>115291.15</v>
      </c>
      <c r="V66" s="301">
        <v>106740.45</v>
      </c>
      <c r="W66" s="302">
        <f t="shared" si="1"/>
        <v>5897965.7045970773</v>
      </c>
      <c r="X66" s="301">
        <v>763</v>
      </c>
      <c r="Y66" s="301">
        <v>0</v>
      </c>
      <c r="Z66" s="303">
        <v>0.1</v>
      </c>
      <c r="AA66" s="301">
        <v>321</v>
      </c>
      <c r="AB66" s="301">
        <v>29</v>
      </c>
      <c r="AC66" s="301">
        <v>0</v>
      </c>
      <c r="AD66" s="301">
        <v>0</v>
      </c>
      <c r="AE66" s="301">
        <v>0</v>
      </c>
    </row>
    <row r="67" spans="1:31" x14ac:dyDescent="0.25">
      <c r="A67" s="148">
        <v>5499</v>
      </c>
      <c r="B67" s="293" t="s">
        <v>162</v>
      </c>
      <c r="C67" s="301">
        <v>480</v>
      </c>
      <c r="D67" s="304">
        <v>68.5</v>
      </c>
      <c r="E67" s="305">
        <v>1</v>
      </c>
      <c r="F67" s="300">
        <v>1076317.01</v>
      </c>
      <c r="G67" s="301">
        <v>248805.52</v>
      </c>
      <c r="H67" s="301">
        <v>8581.15</v>
      </c>
      <c r="I67" s="301">
        <v>1609.55</v>
      </c>
      <c r="J67" s="301"/>
      <c r="K67" s="301">
        <v>2.23</v>
      </c>
      <c r="L67" s="301">
        <v>-3415.39</v>
      </c>
      <c r="M67" s="301">
        <v>0</v>
      </c>
      <c r="N67" s="302">
        <f t="shared" si="0"/>
        <v>1006.0181791410237</v>
      </c>
      <c r="O67" s="301">
        <v>109606.1</v>
      </c>
      <c r="P67" s="301">
        <v>7108.46</v>
      </c>
      <c r="Q67" s="301"/>
      <c r="R67" s="301">
        <v>-1776</v>
      </c>
      <c r="S67" s="301">
        <v>24157.599999999999</v>
      </c>
      <c r="T67" s="301">
        <v>5428.2</v>
      </c>
      <c r="U67" s="301">
        <v>86853.8</v>
      </c>
      <c r="V67" s="301">
        <v>24945.95</v>
      </c>
      <c r="W67" s="302">
        <f t="shared" si="1"/>
        <v>1589230.1981791412</v>
      </c>
      <c r="X67" s="301">
        <v>391</v>
      </c>
      <c r="Y67" s="301">
        <v>0</v>
      </c>
      <c r="Z67" s="303">
        <v>6.0000000000000001E-3</v>
      </c>
      <c r="AA67" s="301">
        <v>68</v>
      </c>
      <c r="AB67" s="301">
        <v>25</v>
      </c>
      <c r="AC67" s="301">
        <v>0</v>
      </c>
      <c r="AD67" s="301">
        <v>0</v>
      </c>
      <c r="AE67" s="301">
        <v>0</v>
      </c>
    </row>
    <row r="68" spans="1:31" x14ac:dyDescent="0.25">
      <c r="A68" s="148">
        <v>5501</v>
      </c>
      <c r="B68" s="293" t="s">
        <v>163</v>
      </c>
      <c r="C68" s="301">
        <v>1225</v>
      </c>
      <c r="D68" s="304">
        <v>64</v>
      </c>
      <c r="E68" s="305">
        <v>1</v>
      </c>
      <c r="F68" s="300">
        <v>2833202.67</v>
      </c>
      <c r="G68" s="301">
        <v>426492.26</v>
      </c>
      <c r="H68" s="301">
        <v>114274.45</v>
      </c>
      <c r="I68" s="301">
        <v>2774.35</v>
      </c>
      <c r="J68" s="301"/>
      <c r="K68" s="301">
        <v>293.48</v>
      </c>
      <c r="L68" s="301">
        <v>-12826.39</v>
      </c>
      <c r="M68" s="301">
        <v>0</v>
      </c>
      <c r="N68" s="302">
        <f t="shared" si="0"/>
        <v>11554.968809467638</v>
      </c>
      <c r="O68" s="301">
        <v>284880.5</v>
      </c>
      <c r="P68" s="301">
        <v>38253.9</v>
      </c>
      <c r="Q68" s="301"/>
      <c r="R68" s="301">
        <v>-2592.9</v>
      </c>
      <c r="S68" s="301">
        <v>300242.5</v>
      </c>
      <c r="T68" s="301">
        <v>10649.5</v>
      </c>
      <c r="U68" s="301">
        <v>179433.35</v>
      </c>
      <c r="V68" s="301">
        <v>20374.349999999999</v>
      </c>
      <c r="W68" s="302">
        <f t="shared" si="1"/>
        <v>4207006.9888094673</v>
      </c>
      <c r="X68" s="301">
        <v>390</v>
      </c>
      <c r="Y68" s="301">
        <v>0</v>
      </c>
      <c r="Z68" s="303">
        <v>1.4E-2</v>
      </c>
      <c r="AA68" s="301">
        <v>167</v>
      </c>
      <c r="AB68" s="301">
        <v>91</v>
      </c>
      <c r="AC68" s="301">
        <v>0</v>
      </c>
      <c r="AD68" s="301">
        <v>0</v>
      </c>
      <c r="AE68" s="301">
        <v>0</v>
      </c>
    </row>
    <row r="69" spans="1:31" x14ac:dyDescent="0.25">
      <c r="A69" s="148">
        <v>5503</v>
      </c>
      <c r="B69" s="293" t="s">
        <v>164</v>
      </c>
      <c r="C69" s="301">
        <v>1342</v>
      </c>
      <c r="D69" s="304">
        <v>67</v>
      </c>
      <c r="E69" s="305">
        <v>1.2</v>
      </c>
      <c r="F69" s="453">
        <f>1983953.68+1245000</f>
        <v>3228953.6799999997</v>
      </c>
      <c r="G69" s="452">
        <f>526280.26-51000</f>
        <v>475280.26</v>
      </c>
      <c r="H69" s="452">
        <f>1366862.9-628000</f>
        <v>738862.89999999991</v>
      </c>
      <c r="I69" s="301">
        <v>1547.25</v>
      </c>
      <c r="J69" s="301"/>
      <c r="K69" s="301">
        <v>7835.63</v>
      </c>
      <c r="L69" s="301">
        <v>-24694.63</v>
      </c>
      <c r="M69" s="301">
        <v>-700</v>
      </c>
      <c r="N69" s="302">
        <f t="shared" si="0"/>
        <v>73092.728754701064</v>
      </c>
      <c r="O69" s="301">
        <v>611892.19999999995</v>
      </c>
      <c r="P69" s="301">
        <v>44038.65</v>
      </c>
      <c r="Q69" s="301">
        <v>65974.850000000006</v>
      </c>
      <c r="R69" s="301">
        <v>-3520.65</v>
      </c>
      <c r="S69" s="301">
        <v>105869.45</v>
      </c>
      <c r="T69" s="301">
        <v>41111</v>
      </c>
      <c r="U69" s="452">
        <f>229882.95-100000</f>
        <v>129882.95000000001</v>
      </c>
      <c r="V69" s="301">
        <v>362996.79</v>
      </c>
      <c r="W69" s="302">
        <f t="shared" si="1"/>
        <v>5858423.0587547012</v>
      </c>
      <c r="X69" s="301">
        <v>535</v>
      </c>
      <c r="Y69" s="301">
        <v>0</v>
      </c>
      <c r="Z69" s="303">
        <v>6.4000000000000001E-2</v>
      </c>
      <c r="AA69" s="301">
        <v>156</v>
      </c>
      <c r="AB69" s="301">
        <v>79</v>
      </c>
      <c r="AC69" s="301">
        <v>0</v>
      </c>
      <c r="AD69" s="301">
        <v>0</v>
      </c>
      <c r="AE69" s="301">
        <v>0</v>
      </c>
    </row>
    <row r="70" spans="1:31" x14ac:dyDescent="0.25">
      <c r="A70" s="148">
        <v>5511</v>
      </c>
      <c r="B70" s="293" t="s">
        <v>165</v>
      </c>
      <c r="C70" s="301">
        <v>1711</v>
      </c>
      <c r="D70" s="304">
        <v>70</v>
      </c>
      <c r="E70" s="305">
        <v>1</v>
      </c>
      <c r="F70" s="300">
        <v>3395283.31</v>
      </c>
      <c r="G70" s="301">
        <v>641777.27</v>
      </c>
      <c r="H70" s="301">
        <v>320295.45</v>
      </c>
      <c r="I70" s="301">
        <v>26110.45</v>
      </c>
      <c r="J70" s="301"/>
      <c r="K70" s="301">
        <v>25272.78</v>
      </c>
      <c r="L70" s="301">
        <v>-63529.25</v>
      </c>
      <c r="M70" s="301">
        <v>0</v>
      </c>
      <c r="N70" s="302">
        <f t="shared" si="0"/>
        <v>34196.927861845368</v>
      </c>
      <c r="O70" s="301">
        <v>412608.45</v>
      </c>
      <c r="P70" s="301">
        <v>77736.639999999999</v>
      </c>
      <c r="Q70" s="301">
        <v>18849.3</v>
      </c>
      <c r="R70" s="301">
        <v>-57.15</v>
      </c>
      <c r="S70" s="301">
        <v>290297.45</v>
      </c>
      <c r="T70" s="301">
        <v>6875.2</v>
      </c>
      <c r="U70" s="301">
        <v>70071.8</v>
      </c>
      <c r="V70" s="301">
        <v>441109.15</v>
      </c>
      <c r="W70" s="302">
        <f t="shared" si="1"/>
        <v>5696897.7778618457</v>
      </c>
      <c r="X70" s="301">
        <v>834</v>
      </c>
      <c r="Y70" s="301">
        <v>0</v>
      </c>
      <c r="Z70" s="303">
        <v>0.02</v>
      </c>
      <c r="AA70" s="301">
        <v>221</v>
      </c>
      <c r="AB70" s="301">
        <v>125</v>
      </c>
      <c r="AC70" s="301">
        <v>0</v>
      </c>
      <c r="AD70" s="301">
        <v>0</v>
      </c>
      <c r="AE70" s="301">
        <v>0</v>
      </c>
    </row>
    <row r="71" spans="1:31" x14ac:dyDescent="0.25">
      <c r="A71" s="148">
        <v>5512</v>
      </c>
      <c r="B71" s="293" t="s">
        <v>166</v>
      </c>
      <c r="C71" s="301">
        <v>1344</v>
      </c>
      <c r="D71" s="304">
        <v>79</v>
      </c>
      <c r="E71" s="305">
        <v>1</v>
      </c>
      <c r="F71" s="300">
        <v>2408907.2999999998</v>
      </c>
      <c r="G71" s="301">
        <v>397716.05</v>
      </c>
      <c r="H71" s="301">
        <v>94540.7</v>
      </c>
      <c r="I71" s="301">
        <v>-459.6</v>
      </c>
      <c r="J71" s="301"/>
      <c r="K71" s="301">
        <v>4599.7700000000004</v>
      </c>
      <c r="L71" s="301">
        <v>-17606.48</v>
      </c>
      <c r="M71" s="301">
        <v>0</v>
      </c>
      <c r="N71" s="302">
        <f t="shared" si="0"/>
        <v>9287.6148756792518</v>
      </c>
      <c r="O71" s="301">
        <v>293561.8</v>
      </c>
      <c r="P71" s="301">
        <v>51502.19</v>
      </c>
      <c r="Q71" s="301">
        <v>12270.15</v>
      </c>
      <c r="R71" s="301">
        <v>-169.21</v>
      </c>
      <c r="S71" s="301">
        <v>98447.05</v>
      </c>
      <c r="T71" s="301">
        <v>82066.8</v>
      </c>
      <c r="U71" s="301">
        <v>107023.9</v>
      </c>
      <c r="V71" s="301">
        <v>120181.85</v>
      </c>
      <c r="W71" s="302">
        <f t="shared" si="1"/>
        <v>3661869.8848756785</v>
      </c>
      <c r="X71" s="301">
        <v>422</v>
      </c>
      <c r="Y71" s="301">
        <v>0</v>
      </c>
      <c r="Z71" s="303">
        <v>0.121</v>
      </c>
      <c r="AA71" s="301">
        <v>172</v>
      </c>
      <c r="AB71" s="301">
        <v>4</v>
      </c>
      <c r="AC71" s="301">
        <v>0</v>
      </c>
      <c r="AD71" s="301">
        <v>0</v>
      </c>
      <c r="AE71" s="301">
        <v>0</v>
      </c>
    </row>
    <row r="72" spans="1:31" x14ac:dyDescent="0.25">
      <c r="A72" s="148">
        <v>5514</v>
      </c>
      <c r="B72" s="293" t="s">
        <v>167</v>
      </c>
      <c r="C72" s="301">
        <v>1358</v>
      </c>
      <c r="D72" s="304">
        <v>72.5</v>
      </c>
      <c r="E72" s="305">
        <v>1</v>
      </c>
      <c r="F72" s="300">
        <v>2477076.7200000002</v>
      </c>
      <c r="G72" s="301">
        <v>456022.45</v>
      </c>
      <c r="H72" s="301">
        <v>24881.4</v>
      </c>
      <c r="I72" s="301">
        <v>9562</v>
      </c>
      <c r="J72" s="301">
        <v>60460.3</v>
      </c>
      <c r="K72" s="301">
        <v>7701.06</v>
      </c>
      <c r="L72" s="301">
        <v>-39493.65</v>
      </c>
      <c r="M72" s="301">
        <v>-2650</v>
      </c>
      <c r="N72" s="302">
        <f t="shared" si="0"/>
        <v>3400.2263388605238</v>
      </c>
      <c r="O72" s="301">
        <v>250689.9</v>
      </c>
      <c r="P72" s="301">
        <v>69654.759999999995</v>
      </c>
      <c r="Q72" s="301">
        <v>13359.5</v>
      </c>
      <c r="R72" s="301">
        <v>-1495</v>
      </c>
      <c r="S72" s="301">
        <v>108325.4</v>
      </c>
      <c r="T72" s="301">
        <v>6810.3</v>
      </c>
      <c r="U72" s="301">
        <v>106327.65</v>
      </c>
      <c r="V72" s="301">
        <v>16360.7</v>
      </c>
      <c r="W72" s="302">
        <f t="shared" si="1"/>
        <v>3566993.7163388603</v>
      </c>
      <c r="X72" s="301">
        <v>691</v>
      </c>
      <c r="Y72" s="301">
        <v>965</v>
      </c>
      <c r="Z72" s="303">
        <v>6.3E-2</v>
      </c>
      <c r="AA72" s="301">
        <v>197</v>
      </c>
      <c r="AB72" s="301">
        <v>112</v>
      </c>
      <c r="AC72" s="301">
        <v>0</v>
      </c>
      <c r="AD72" s="301">
        <v>0</v>
      </c>
      <c r="AE72" s="301">
        <v>0</v>
      </c>
    </row>
    <row r="73" spans="1:31" x14ac:dyDescent="0.25">
      <c r="A73" s="148">
        <v>5515</v>
      </c>
      <c r="B73" s="293" t="s">
        <v>168</v>
      </c>
      <c r="C73" s="301">
        <v>898</v>
      </c>
      <c r="D73" s="304">
        <v>78</v>
      </c>
      <c r="E73" s="305">
        <v>1</v>
      </c>
      <c r="F73" s="300">
        <v>2002160.68</v>
      </c>
      <c r="G73" s="301">
        <v>239860.17</v>
      </c>
      <c r="H73" s="301">
        <v>19611</v>
      </c>
      <c r="I73" s="301">
        <v>26244.1</v>
      </c>
      <c r="J73" s="301"/>
      <c r="K73" s="301">
        <v>2966.34</v>
      </c>
      <c r="L73" s="301">
        <v>-33293.47</v>
      </c>
      <c r="M73" s="301">
        <v>-3650</v>
      </c>
      <c r="N73" s="302">
        <f t="shared" ref="N73:N136" si="2">$N$308/SUM($H$308:$I$308)*(H73+I73)</f>
        <v>4526.780712446599</v>
      </c>
      <c r="O73" s="301">
        <v>193068.15</v>
      </c>
      <c r="P73" s="301">
        <v>32410.52</v>
      </c>
      <c r="Q73" s="301">
        <v>17570.55</v>
      </c>
      <c r="R73" s="301">
        <v>0</v>
      </c>
      <c r="S73" s="301">
        <v>37028.75</v>
      </c>
      <c r="T73" s="301"/>
      <c r="U73" s="301">
        <v>46643.85</v>
      </c>
      <c r="V73" s="301">
        <v>23609.3</v>
      </c>
      <c r="W73" s="302">
        <f t="shared" ref="W73:W136" si="3">SUM(F73:V73)</f>
        <v>2608756.7207124461</v>
      </c>
      <c r="X73" s="301">
        <v>283</v>
      </c>
      <c r="Y73" s="301">
        <v>2</v>
      </c>
      <c r="Z73" s="303">
        <v>9.0999999999999998E-2</v>
      </c>
      <c r="AA73" s="301">
        <v>126</v>
      </c>
      <c r="AB73" s="301">
        <v>19</v>
      </c>
      <c r="AC73" s="301">
        <v>0</v>
      </c>
      <c r="AD73" s="301">
        <v>0</v>
      </c>
      <c r="AE73" s="301">
        <v>0</v>
      </c>
    </row>
    <row r="74" spans="1:31" x14ac:dyDescent="0.25">
      <c r="A74" s="148">
        <v>5516</v>
      </c>
      <c r="B74" s="293" t="s">
        <v>169</v>
      </c>
      <c r="C74" s="301">
        <v>2790</v>
      </c>
      <c r="D74" s="304">
        <v>76</v>
      </c>
      <c r="E74" s="305">
        <v>1.2</v>
      </c>
      <c r="F74" s="300">
        <v>6295901.2300000004</v>
      </c>
      <c r="G74" s="301">
        <v>1010816.1</v>
      </c>
      <c r="H74" s="301">
        <v>378877.95</v>
      </c>
      <c r="I74" s="301">
        <v>13414.5</v>
      </c>
      <c r="J74" s="301">
        <v>52949.919999999998</v>
      </c>
      <c r="K74" s="301">
        <v>20966.349999999999</v>
      </c>
      <c r="L74" s="301">
        <v>-85372.83</v>
      </c>
      <c r="M74" s="301">
        <v>0</v>
      </c>
      <c r="N74" s="302">
        <f t="shared" si="2"/>
        <v>38726.813294451909</v>
      </c>
      <c r="O74" s="301">
        <v>728776.5</v>
      </c>
      <c r="P74" s="301">
        <v>151434.35999999999</v>
      </c>
      <c r="Q74" s="301">
        <v>32478</v>
      </c>
      <c r="R74" s="301">
        <v>-1967.7</v>
      </c>
      <c r="S74" s="301">
        <v>353385.95</v>
      </c>
      <c r="T74" s="301">
        <v>3309.4</v>
      </c>
      <c r="U74" s="301">
        <v>257807.65</v>
      </c>
      <c r="V74" s="301">
        <v>108883.05</v>
      </c>
      <c r="W74" s="302">
        <f t="shared" si="3"/>
        <v>9360387.2432944514</v>
      </c>
      <c r="X74" s="301">
        <v>291</v>
      </c>
      <c r="Y74" s="301">
        <v>26</v>
      </c>
      <c r="Z74" s="303">
        <v>7.1999999999999995E-2</v>
      </c>
      <c r="AA74" s="301">
        <v>349</v>
      </c>
      <c r="AB74" s="301">
        <v>41</v>
      </c>
      <c r="AC74" s="301">
        <v>0</v>
      </c>
      <c r="AD74" s="301">
        <v>0</v>
      </c>
      <c r="AE74" s="301">
        <v>0</v>
      </c>
    </row>
    <row r="75" spans="1:31" x14ac:dyDescent="0.25">
      <c r="A75" s="148">
        <v>5518</v>
      </c>
      <c r="B75" s="293" t="s">
        <v>170</v>
      </c>
      <c r="C75" s="301">
        <v>6722</v>
      </c>
      <c r="D75" s="304">
        <v>72.5</v>
      </c>
      <c r="E75" s="305">
        <v>1</v>
      </c>
      <c r="F75" s="300">
        <v>11855608.17</v>
      </c>
      <c r="G75" s="301">
        <v>1329872.9099999999</v>
      </c>
      <c r="H75" s="301">
        <v>879194.2</v>
      </c>
      <c r="I75" s="301">
        <v>116605.3</v>
      </c>
      <c r="J75" s="301"/>
      <c r="K75" s="301">
        <v>53126.09</v>
      </c>
      <c r="L75" s="301">
        <v>-252821.63</v>
      </c>
      <c r="M75" s="301">
        <v>-3500</v>
      </c>
      <c r="N75" s="302">
        <f t="shared" si="2"/>
        <v>98304.571793845549</v>
      </c>
      <c r="O75" s="301">
        <v>1254131.95</v>
      </c>
      <c r="P75" s="301">
        <v>288855.84999999998</v>
      </c>
      <c r="Q75" s="301">
        <v>103831.65</v>
      </c>
      <c r="R75" s="301">
        <v>-2162.42</v>
      </c>
      <c r="S75" s="301">
        <v>579539.85</v>
      </c>
      <c r="T75" s="301">
        <v>144426.29999999999</v>
      </c>
      <c r="U75" s="301">
        <v>436143.85</v>
      </c>
      <c r="V75" s="301">
        <v>261688.55</v>
      </c>
      <c r="W75" s="302">
        <f t="shared" si="3"/>
        <v>17142845.191793844</v>
      </c>
      <c r="X75" s="301">
        <v>658</v>
      </c>
      <c r="Y75" s="301">
        <v>0</v>
      </c>
      <c r="Z75" s="303">
        <v>3.2000000000000001E-2</v>
      </c>
      <c r="AA75" s="301">
        <v>824</v>
      </c>
      <c r="AB75" s="301">
        <v>16</v>
      </c>
      <c r="AC75" s="301">
        <v>0</v>
      </c>
      <c r="AD75" s="301">
        <v>0</v>
      </c>
      <c r="AE75" s="301">
        <v>0</v>
      </c>
    </row>
    <row r="76" spans="1:31" x14ac:dyDescent="0.25">
      <c r="A76" s="148">
        <v>5520</v>
      </c>
      <c r="B76" s="293" t="s">
        <v>171</v>
      </c>
      <c r="C76" s="301">
        <v>1148</v>
      </c>
      <c r="D76" s="304">
        <v>74</v>
      </c>
      <c r="E76" s="305">
        <v>1</v>
      </c>
      <c r="F76" s="300">
        <v>2038458.6</v>
      </c>
      <c r="G76" s="301">
        <v>318193.90999999997</v>
      </c>
      <c r="H76" s="301">
        <v>29886.95</v>
      </c>
      <c r="I76" s="301">
        <v>-169.45</v>
      </c>
      <c r="J76" s="301"/>
      <c r="K76" s="301">
        <v>1395.65</v>
      </c>
      <c r="L76" s="301">
        <v>-26017.83</v>
      </c>
      <c r="M76" s="301">
        <v>0</v>
      </c>
      <c r="N76" s="302">
        <f t="shared" si="2"/>
        <v>2933.6890732357319</v>
      </c>
      <c r="O76" s="301">
        <v>219268.5</v>
      </c>
      <c r="P76" s="301">
        <v>22611.96</v>
      </c>
      <c r="Q76" s="301">
        <v>8412.65</v>
      </c>
      <c r="R76" s="301">
        <v>-71.75</v>
      </c>
      <c r="S76" s="301">
        <v>116742.3</v>
      </c>
      <c r="T76" s="301">
        <v>24093.8</v>
      </c>
      <c r="U76" s="301">
        <v>33772.6</v>
      </c>
      <c r="V76" s="301">
        <v>19146</v>
      </c>
      <c r="W76" s="302">
        <f t="shared" si="3"/>
        <v>2808657.5790732354</v>
      </c>
      <c r="X76" s="301">
        <v>971</v>
      </c>
      <c r="Y76" s="301">
        <v>0</v>
      </c>
      <c r="Z76" s="303">
        <v>5.7000000000000002E-2</v>
      </c>
      <c r="AA76" s="301">
        <v>155</v>
      </c>
      <c r="AB76" s="301">
        <v>93</v>
      </c>
      <c r="AC76" s="301">
        <v>0</v>
      </c>
      <c r="AD76" s="301">
        <v>0</v>
      </c>
      <c r="AE76" s="301">
        <v>0</v>
      </c>
    </row>
    <row r="77" spans="1:31" x14ac:dyDescent="0.25">
      <c r="A77" s="148">
        <v>5521</v>
      </c>
      <c r="B77" s="293" t="s">
        <v>172</v>
      </c>
      <c r="C77" s="301">
        <v>1189</v>
      </c>
      <c r="D77" s="304">
        <v>73</v>
      </c>
      <c r="E77" s="305">
        <v>1</v>
      </c>
      <c r="F77" s="300">
        <v>2539482.11</v>
      </c>
      <c r="G77" s="301">
        <v>322798.07</v>
      </c>
      <c r="H77" s="301">
        <v>169406.55</v>
      </c>
      <c r="I77" s="301">
        <v>6455.1</v>
      </c>
      <c r="J77" s="301"/>
      <c r="K77" s="301">
        <v>5400.16</v>
      </c>
      <c r="L77" s="301">
        <v>-45913.77</v>
      </c>
      <c r="M77" s="301">
        <v>-50</v>
      </c>
      <c r="N77" s="302">
        <f t="shared" si="2"/>
        <v>17360.928779547627</v>
      </c>
      <c r="O77" s="301">
        <v>290246.15000000002</v>
      </c>
      <c r="P77" s="301">
        <v>92174.45</v>
      </c>
      <c r="Q77" s="301">
        <v>24744.6</v>
      </c>
      <c r="R77" s="301">
        <v>-455.7</v>
      </c>
      <c r="S77" s="301">
        <v>240707.5</v>
      </c>
      <c r="T77" s="301">
        <v>75174</v>
      </c>
      <c r="U77" s="301">
        <v>191034.9</v>
      </c>
      <c r="V77" s="301">
        <v>111700.8</v>
      </c>
      <c r="W77" s="302">
        <f t="shared" si="3"/>
        <v>4040265.848779547</v>
      </c>
      <c r="X77" s="301">
        <v>376</v>
      </c>
      <c r="Y77" s="301">
        <v>0</v>
      </c>
      <c r="Z77" s="303">
        <v>1.2999999999999999E-2</v>
      </c>
      <c r="AA77" s="301">
        <v>130</v>
      </c>
      <c r="AB77" s="301">
        <v>45</v>
      </c>
      <c r="AC77" s="301">
        <v>0</v>
      </c>
      <c r="AD77" s="301">
        <v>0</v>
      </c>
      <c r="AE77" s="301">
        <v>0</v>
      </c>
    </row>
    <row r="78" spans="1:31" x14ac:dyDescent="0.25">
      <c r="A78" s="148">
        <v>5522</v>
      </c>
      <c r="B78" s="293" t="s">
        <v>173</v>
      </c>
      <c r="C78" s="301">
        <v>789</v>
      </c>
      <c r="D78" s="304">
        <v>75</v>
      </c>
      <c r="E78" s="305">
        <v>1</v>
      </c>
      <c r="F78" s="300">
        <v>1451102.68</v>
      </c>
      <c r="G78" s="301">
        <v>238949.49</v>
      </c>
      <c r="H78" s="301">
        <v>53372</v>
      </c>
      <c r="I78" s="301">
        <v>463.95</v>
      </c>
      <c r="J78" s="301"/>
      <c r="K78" s="301"/>
      <c r="L78" s="301">
        <v>-29888.06</v>
      </c>
      <c r="M78" s="301">
        <v>0</v>
      </c>
      <c r="N78" s="302">
        <f t="shared" si="2"/>
        <v>5314.6441747207937</v>
      </c>
      <c r="O78" s="301">
        <v>150686.35</v>
      </c>
      <c r="P78" s="301">
        <v>15601.49</v>
      </c>
      <c r="Q78" s="301">
        <v>3239.85</v>
      </c>
      <c r="R78" s="301">
        <v>0</v>
      </c>
      <c r="S78" s="301">
        <v>54764.15</v>
      </c>
      <c r="T78" s="301">
        <v>2201.3000000000002</v>
      </c>
      <c r="U78" s="301">
        <v>51832.800000000003</v>
      </c>
      <c r="V78" s="301">
        <v>38593.75</v>
      </c>
      <c r="W78" s="302">
        <f t="shared" si="3"/>
        <v>2036234.3941747209</v>
      </c>
      <c r="X78" s="301">
        <v>741</v>
      </c>
      <c r="Y78" s="301">
        <v>0</v>
      </c>
      <c r="Z78" s="303">
        <v>7.0999999999999994E-2</v>
      </c>
      <c r="AA78" s="301">
        <v>118</v>
      </c>
      <c r="AB78" s="301">
        <v>116</v>
      </c>
      <c r="AC78" s="301">
        <v>0</v>
      </c>
      <c r="AD78" s="301">
        <v>0</v>
      </c>
      <c r="AE78" s="301">
        <v>0</v>
      </c>
    </row>
    <row r="79" spans="1:31" x14ac:dyDescent="0.25">
      <c r="A79" s="148">
        <v>5523</v>
      </c>
      <c r="B79" s="293" t="s">
        <v>174</v>
      </c>
      <c r="C79" s="301">
        <v>2731</v>
      </c>
      <c r="D79" s="304">
        <v>72</v>
      </c>
      <c r="E79" s="305">
        <v>1.25</v>
      </c>
      <c r="F79" s="300">
        <v>5059992.6399999997</v>
      </c>
      <c r="G79" s="301">
        <v>631908.64</v>
      </c>
      <c r="H79" s="301">
        <v>62320.4</v>
      </c>
      <c r="I79" s="301">
        <v>3394.6</v>
      </c>
      <c r="J79" s="301"/>
      <c r="K79" s="301">
        <v>18311.91</v>
      </c>
      <c r="L79" s="301">
        <v>-52330.44</v>
      </c>
      <c r="M79" s="301">
        <v>-8616.66</v>
      </c>
      <c r="N79" s="302">
        <f t="shared" si="2"/>
        <v>6487.3349860414273</v>
      </c>
      <c r="O79" s="301">
        <v>693029.6</v>
      </c>
      <c r="P79" s="301">
        <v>94604.28</v>
      </c>
      <c r="Q79" s="301">
        <v>31774.799999999999</v>
      </c>
      <c r="R79" s="301">
        <v>-560.95000000000005</v>
      </c>
      <c r="S79" s="301">
        <v>142818</v>
      </c>
      <c r="T79" s="301"/>
      <c r="U79" s="301">
        <v>11588.5</v>
      </c>
      <c r="V79" s="301">
        <v>5631.65</v>
      </c>
      <c r="W79" s="302">
        <f t="shared" si="3"/>
        <v>6700354.3049860401</v>
      </c>
      <c r="X79" s="301">
        <v>703</v>
      </c>
      <c r="Y79" s="301">
        <v>2731</v>
      </c>
      <c r="Z79" s="303">
        <v>3.3000000000000002E-2</v>
      </c>
      <c r="AA79" s="301">
        <v>377</v>
      </c>
      <c r="AB79" s="301">
        <v>137</v>
      </c>
      <c r="AC79" s="301">
        <v>0</v>
      </c>
      <c r="AD79" s="301">
        <v>0</v>
      </c>
      <c r="AE79" s="301">
        <v>0</v>
      </c>
    </row>
    <row r="80" spans="1:31" x14ac:dyDescent="0.25">
      <c r="A80" s="148">
        <v>5527</v>
      </c>
      <c r="B80" s="293" t="s">
        <v>175</v>
      </c>
      <c r="C80" s="301">
        <v>1153</v>
      </c>
      <c r="D80" s="304">
        <v>74</v>
      </c>
      <c r="E80" s="305">
        <v>1</v>
      </c>
      <c r="F80" s="300">
        <v>2439351.27</v>
      </c>
      <c r="G80" s="301">
        <v>404665.41</v>
      </c>
      <c r="H80" s="301">
        <v>40408.15</v>
      </c>
      <c r="I80" s="301">
        <v>-1860.25</v>
      </c>
      <c r="J80" s="301"/>
      <c r="K80" s="301">
        <v>2275.06</v>
      </c>
      <c r="L80" s="301">
        <v>-16163.84</v>
      </c>
      <c r="M80" s="301">
        <v>0</v>
      </c>
      <c r="N80" s="302">
        <f t="shared" si="2"/>
        <v>3805.4194675253193</v>
      </c>
      <c r="O80" s="301">
        <v>256256.8</v>
      </c>
      <c r="P80" s="301">
        <v>18899.87</v>
      </c>
      <c r="Q80" s="301">
        <v>6427.75</v>
      </c>
      <c r="R80" s="301">
        <v>-223.65</v>
      </c>
      <c r="S80" s="301">
        <v>129225.9</v>
      </c>
      <c r="T80" s="301"/>
      <c r="U80" s="301">
        <v>132251.70000000001</v>
      </c>
      <c r="V80" s="301">
        <v>6014.2</v>
      </c>
      <c r="W80" s="302">
        <f t="shared" si="3"/>
        <v>3421333.7894675257</v>
      </c>
      <c r="X80" s="301">
        <v>368</v>
      </c>
      <c r="Y80" s="301">
        <v>0</v>
      </c>
      <c r="Z80" s="303">
        <v>5.1999999999999998E-2</v>
      </c>
      <c r="AA80" s="301">
        <v>169</v>
      </c>
      <c r="AB80" s="301">
        <v>17</v>
      </c>
      <c r="AC80" s="301">
        <v>0</v>
      </c>
      <c r="AD80" s="301">
        <v>0</v>
      </c>
      <c r="AE80" s="301">
        <v>0</v>
      </c>
    </row>
    <row r="81" spans="1:31" x14ac:dyDescent="0.25">
      <c r="A81" s="148">
        <v>5529</v>
      </c>
      <c r="B81" s="293" t="s">
        <v>176</v>
      </c>
      <c r="C81" s="301">
        <v>607</v>
      </c>
      <c r="D81" s="304">
        <v>71</v>
      </c>
      <c r="E81" s="305">
        <v>1</v>
      </c>
      <c r="F81" s="300">
        <v>1219699.76</v>
      </c>
      <c r="G81" s="301">
        <v>148750.19</v>
      </c>
      <c r="H81" s="301">
        <v>21888.85</v>
      </c>
      <c r="I81" s="301">
        <v>2184.75</v>
      </c>
      <c r="J81" s="301"/>
      <c r="K81" s="301">
        <v>8483.81</v>
      </c>
      <c r="L81" s="301">
        <v>-33893.25</v>
      </c>
      <c r="M81" s="301">
        <v>0</v>
      </c>
      <c r="N81" s="302">
        <f t="shared" si="2"/>
        <v>2376.5275434827195</v>
      </c>
      <c r="O81" s="301">
        <v>137385.79999999999</v>
      </c>
      <c r="P81" s="301">
        <v>1711.12</v>
      </c>
      <c r="Q81" s="301">
        <v>5172.05</v>
      </c>
      <c r="R81" s="301">
        <v>0</v>
      </c>
      <c r="S81" s="301">
        <v>70523.75</v>
      </c>
      <c r="T81" s="301">
        <v>17146.5</v>
      </c>
      <c r="U81" s="301">
        <v>57747.6</v>
      </c>
      <c r="V81" s="301">
        <v>5452.15</v>
      </c>
      <c r="W81" s="302">
        <f t="shared" si="3"/>
        <v>1664629.6075434829</v>
      </c>
      <c r="X81" s="301">
        <v>588</v>
      </c>
      <c r="Y81" s="301">
        <v>0</v>
      </c>
      <c r="Z81" s="303">
        <v>3.4000000000000002E-2</v>
      </c>
      <c r="AA81" s="301">
        <v>83</v>
      </c>
      <c r="AB81" s="301">
        <v>59</v>
      </c>
      <c r="AC81" s="301">
        <v>0</v>
      </c>
      <c r="AD81" s="301">
        <v>0</v>
      </c>
      <c r="AE81" s="301">
        <v>0</v>
      </c>
    </row>
    <row r="82" spans="1:31" x14ac:dyDescent="0.25">
      <c r="A82" s="148">
        <v>5530</v>
      </c>
      <c r="B82" s="293" t="s">
        <v>177</v>
      </c>
      <c r="C82" s="301">
        <v>576</v>
      </c>
      <c r="D82" s="304">
        <v>76</v>
      </c>
      <c r="E82" s="305">
        <v>1.2</v>
      </c>
      <c r="F82" s="300">
        <v>1160547.8600000001</v>
      </c>
      <c r="G82" s="301">
        <v>154238.41</v>
      </c>
      <c r="H82" s="301">
        <v>16863.55</v>
      </c>
      <c r="I82" s="301">
        <v>3400.3</v>
      </c>
      <c r="J82" s="301"/>
      <c r="K82" s="301"/>
      <c r="L82" s="301">
        <v>-17949.830000000002</v>
      </c>
      <c r="M82" s="301">
        <v>0</v>
      </c>
      <c r="N82" s="302">
        <f t="shared" si="2"/>
        <v>2000.4319113885044</v>
      </c>
      <c r="O82" s="301">
        <v>138061.45000000001</v>
      </c>
      <c r="P82" s="301">
        <v>7440.13</v>
      </c>
      <c r="Q82" s="301">
        <v>1400</v>
      </c>
      <c r="R82" s="301">
        <v>-53.95</v>
      </c>
      <c r="S82" s="301">
        <v>48806.05</v>
      </c>
      <c r="T82" s="301">
        <v>35969</v>
      </c>
      <c r="U82" s="301">
        <v>19853.8</v>
      </c>
      <c r="V82" s="301">
        <v>15216.85</v>
      </c>
      <c r="W82" s="302">
        <f t="shared" si="3"/>
        <v>1585794.0519113885</v>
      </c>
      <c r="X82" s="301">
        <v>570</v>
      </c>
      <c r="Y82" s="301">
        <v>0</v>
      </c>
      <c r="Z82" s="303">
        <v>0.04</v>
      </c>
      <c r="AA82" s="301">
        <v>95</v>
      </c>
      <c r="AB82" s="301">
        <v>47</v>
      </c>
      <c r="AC82" s="301">
        <v>0</v>
      </c>
      <c r="AD82" s="301">
        <v>0</v>
      </c>
      <c r="AE82" s="301">
        <v>0</v>
      </c>
    </row>
    <row r="83" spans="1:31" x14ac:dyDescent="0.25">
      <c r="A83" s="148">
        <v>5531</v>
      </c>
      <c r="B83" s="293" t="s">
        <v>178</v>
      </c>
      <c r="C83" s="301">
        <v>430</v>
      </c>
      <c r="D83" s="304">
        <v>74</v>
      </c>
      <c r="E83" s="305">
        <v>1</v>
      </c>
      <c r="F83" s="300">
        <v>984914.78</v>
      </c>
      <c r="G83" s="301">
        <v>143391.28</v>
      </c>
      <c r="H83" s="301">
        <v>13063.5</v>
      </c>
      <c r="I83" s="301">
        <v>879.75</v>
      </c>
      <c r="J83" s="301"/>
      <c r="K83" s="301"/>
      <c r="L83" s="301">
        <v>-2361.56</v>
      </c>
      <c r="M83" s="301">
        <v>450</v>
      </c>
      <c r="N83" s="302">
        <f t="shared" si="2"/>
        <v>1376.4670705945693</v>
      </c>
      <c r="O83" s="301">
        <v>94690.85</v>
      </c>
      <c r="P83" s="301">
        <v>18775.740000000002</v>
      </c>
      <c r="Q83" s="301">
        <v>1739.3</v>
      </c>
      <c r="R83" s="301">
        <v>0</v>
      </c>
      <c r="S83" s="301">
        <v>58166.3</v>
      </c>
      <c r="T83" s="301"/>
      <c r="U83" s="301">
        <v>-2609.6</v>
      </c>
      <c r="V83" s="301">
        <v>16766.75</v>
      </c>
      <c r="W83" s="302">
        <f t="shared" si="3"/>
        <v>1329243.5570705947</v>
      </c>
      <c r="X83" s="301">
        <v>570</v>
      </c>
      <c r="Y83" s="301">
        <v>0</v>
      </c>
      <c r="Z83" s="303">
        <v>0.03</v>
      </c>
      <c r="AA83" s="301">
        <v>57</v>
      </c>
      <c r="AB83" s="301">
        <v>57</v>
      </c>
      <c r="AC83" s="301">
        <v>0</v>
      </c>
      <c r="AD83" s="301">
        <v>0</v>
      </c>
      <c r="AE83" s="301">
        <v>0</v>
      </c>
    </row>
    <row r="84" spans="1:31" x14ac:dyDescent="0.25">
      <c r="A84" s="148">
        <v>5533</v>
      </c>
      <c r="B84" s="293" t="s">
        <v>179</v>
      </c>
      <c r="C84" s="301">
        <v>850</v>
      </c>
      <c r="D84" s="304">
        <v>73</v>
      </c>
      <c r="E84" s="305">
        <v>1</v>
      </c>
      <c r="F84" s="300">
        <v>1509696.47</v>
      </c>
      <c r="G84" s="301">
        <v>220365.65</v>
      </c>
      <c r="H84" s="301">
        <v>51824.15</v>
      </c>
      <c r="I84" s="301">
        <v>3225.15</v>
      </c>
      <c r="J84" s="301"/>
      <c r="K84" s="301">
        <v>28.41</v>
      </c>
      <c r="L84" s="301">
        <v>-14860.1</v>
      </c>
      <c r="M84" s="301">
        <v>0</v>
      </c>
      <c r="N84" s="302">
        <f t="shared" si="2"/>
        <v>5434.4251669647774</v>
      </c>
      <c r="O84" s="301">
        <v>165428.15</v>
      </c>
      <c r="P84" s="301">
        <v>44143.31</v>
      </c>
      <c r="Q84" s="301">
        <v>12880.3</v>
      </c>
      <c r="R84" s="301">
        <v>-259.26</v>
      </c>
      <c r="S84" s="301">
        <v>42926.400000000001</v>
      </c>
      <c r="T84" s="301">
        <v>154440</v>
      </c>
      <c r="U84" s="301">
        <v>28784.1</v>
      </c>
      <c r="V84" s="301">
        <v>11388.8</v>
      </c>
      <c r="W84" s="302">
        <f t="shared" si="3"/>
        <v>2235445.9551669643</v>
      </c>
      <c r="X84" s="301">
        <v>498</v>
      </c>
      <c r="Y84" s="301">
        <v>715</v>
      </c>
      <c r="Z84" s="303">
        <v>5.3999999999999999E-2</v>
      </c>
      <c r="AA84" s="301">
        <v>140</v>
      </c>
      <c r="AB84" s="301">
        <v>47</v>
      </c>
      <c r="AC84" s="301">
        <v>0</v>
      </c>
      <c r="AD84" s="301">
        <v>0</v>
      </c>
      <c r="AE84" s="301">
        <v>0</v>
      </c>
    </row>
    <row r="85" spans="1:31" x14ac:dyDescent="0.25">
      <c r="A85" s="148">
        <v>5534</v>
      </c>
      <c r="B85" s="293" t="s">
        <v>180</v>
      </c>
      <c r="C85" s="301">
        <v>304</v>
      </c>
      <c r="D85" s="304">
        <v>73</v>
      </c>
      <c r="E85" s="305">
        <v>1.2</v>
      </c>
      <c r="F85" s="300">
        <v>605001.39</v>
      </c>
      <c r="G85" s="301">
        <v>189512.83</v>
      </c>
      <c r="H85" s="301">
        <v>416752.05</v>
      </c>
      <c r="I85" s="301">
        <v>1662.15</v>
      </c>
      <c r="J85" s="301"/>
      <c r="K85" s="301"/>
      <c r="L85" s="301">
        <v>-17148.490000000002</v>
      </c>
      <c r="M85" s="301">
        <v>0</v>
      </c>
      <c r="N85" s="302">
        <f t="shared" si="2"/>
        <v>41305.532653374954</v>
      </c>
      <c r="O85" s="301">
        <v>103647.75</v>
      </c>
      <c r="P85" s="301">
        <v>-11215.71</v>
      </c>
      <c r="Q85" s="301">
        <v>1149.75</v>
      </c>
      <c r="R85" s="301">
        <v>0</v>
      </c>
      <c r="S85" s="301">
        <v>35078</v>
      </c>
      <c r="T85" s="301">
        <v>6</v>
      </c>
      <c r="U85" s="301">
        <v>38776.800000000003</v>
      </c>
      <c r="V85" s="301">
        <v>25302.05</v>
      </c>
      <c r="W85" s="302">
        <f t="shared" si="3"/>
        <v>1429830.1026533751</v>
      </c>
      <c r="X85" s="301">
        <v>199</v>
      </c>
      <c r="Y85" s="301">
        <v>0</v>
      </c>
      <c r="Z85" s="303">
        <v>0.10100000000000001</v>
      </c>
      <c r="AA85" s="301">
        <v>37</v>
      </c>
      <c r="AB85" s="301">
        <v>1</v>
      </c>
      <c r="AC85" s="301">
        <v>0</v>
      </c>
      <c r="AD85" s="301">
        <v>0</v>
      </c>
      <c r="AE85" s="301">
        <v>0</v>
      </c>
    </row>
    <row r="86" spans="1:31" x14ac:dyDescent="0.25">
      <c r="A86" s="148">
        <v>5535</v>
      </c>
      <c r="B86" s="293" t="s">
        <v>181</v>
      </c>
      <c r="C86" s="301">
        <v>837</v>
      </c>
      <c r="D86" s="304">
        <v>75</v>
      </c>
      <c r="E86" s="305">
        <v>1</v>
      </c>
      <c r="F86" s="300">
        <v>1568166.35</v>
      </c>
      <c r="G86" s="301">
        <v>202385.77</v>
      </c>
      <c r="H86" s="301">
        <v>57673.05</v>
      </c>
      <c r="I86" s="301">
        <v>1159.75</v>
      </c>
      <c r="J86" s="301"/>
      <c r="K86" s="301"/>
      <c r="L86" s="301">
        <v>-7777.42</v>
      </c>
      <c r="M86" s="301">
        <v>0</v>
      </c>
      <c r="N86" s="302">
        <f t="shared" si="2"/>
        <v>5807.9294189572865</v>
      </c>
      <c r="O86" s="301">
        <v>156509.95000000001</v>
      </c>
      <c r="P86" s="301">
        <v>3688.73</v>
      </c>
      <c r="Q86" s="301">
        <v>1739.3</v>
      </c>
      <c r="R86" s="301">
        <v>-26.4</v>
      </c>
      <c r="S86" s="301">
        <v>59115.95</v>
      </c>
      <c r="T86" s="301"/>
      <c r="U86" s="301">
        <v>67177.75</v>
      </c>
      <c r="V86" s="301">
        <v>69730.95</v>
      </c>
      <c r="W86" s="302">
        <f t="shared" si="3"/>
        <v>2185351.6594189578</v>
      </c>
      <c r="X86" s="301">
        <v>412</v>
      </c>
      <c r="Y86" s="301">
        <v>0</v>
      </c>
      <c r="Z86" s="303">
        <v>2.3E-2</v>
      </c>
      <c r="AA86" s="301">
        <v>104</v>
      </c>
      <c r="AB86" s="301">
        <v>104</v>
      </c>
      <c r="AC86" s="301">
        <v>0</v>
      </c>
      <c r="AD86" s="301">
        <v>0</v>
      </c>
      <c r="AE86" s="301">
        <v>0</v>
      </c>
    </row>
    <row r="87" spans="1:31" x14ac:dyDescent="0.25">
      <c r="A87" s="148">
        <v>5537</v>
      </c>
      <c r="B87" s="293" t="s">
        <v>182</v>
      </c>
      <c r="C87" s="301">
        <v>1307</v>
      </c>
      <c r="D87" s="304">
        <v>76</v>
      </c>
      <c r="E87" s="305">
        <v>1</v>
      </c>
      <c r="F87" s="300">
        <v>2283070.6800000002</v>
      </c>
      <c r="G87" s="301">
        <v>249526.25</v>
      </c>
      <c r="H87" s="301">
        <v>-19853.05</v>
      </c>
      <c r="I87" s="301">
        <v>1137.5</v>
      </c>
      <c r="J87" s="301"/>
      <c r="K87" s="301">
        <v>3105.65</v>
      </c>
      <c r="L87" s="301">
        <v>-42523.06</v>
      </c>
      <c r="M87" s="301">
        <v>0</v>
      </c>
      <c r="N87" s="302">
        <f t="shared" si="2"/>
        <v>-1847.5849090467568</v>
      </c>
      <c r="O87" s="301">
        <v>269166.75</v>
      </c>
      <c r="P87" s="301">
        <v>42192.17</v>
      </c>
      <c r="Q87" s="301">
        <v>6838.25</v>
      </c>
      <c r="R87" s="301">
        <v>-255.05</v>
      </c>
      <c r="S87" s="301">
        <v>74631.850000000006</v>
      </c>
      <c r="T87" s="301">
        <v>49620.9</v>
      </c>
      <c r="U87" s="301">
        <v>53441.9</v>
      </c>
      <c r="V87" s="301">
        <v>13831.85</v>
      </c>
      <c r="W87" s="302">
        <f t="shared" si="3"/>
        <v>2982085.0050909538</v>
      </c>
      <c r="X87" s="301">
        <v>711</v>
      </c>
      <c r="Y87" s="301">
        <v>0</v>
      </c>
      <c r="Z87" s="303">
        <v>2.3E-2</v>
      </c>
      <c r="AA87" s="301">
        <v>205</v>
      </c>
      <c r="AB87" s="301">
        <v>27</v>
      </c>
      <c r="AC87" s="301">
        <v>0</v>
      </c>
      <c r="AD87" s="301">
        <v>0</v>
      </c>
      <c r="AE87" s="301">
        <v>0</v>
      </c>
    </row>
    <row r="88" spans="1:31" x14ac:dyDescent="0.25">
      <c r="A88" s="148">
        <v>5539</v>
      </c>
      <c r="B88" s="293" t="s">
        <v>183</v>
      </c>
      <c r="C88" s="301">
        <v>1120</v>
      </c>
      <c r="D88" s="304">
        <v>73.5</v>
      </c>
      <c r="E88" s="305">
        <v>0.8</v>
      </c>
      <c r="F88" s="300">
        <v>2052964.17</v>
      </c>
      <c r="G88" s="301">
        <v>221714.01</v>
      </c>
      <c r="H88" s="301">
        <v>45340.3</v>
      </c>
      <c r="I88" s="301">
        <v>764.2</v>
      </c>
      <c r="J88" s="301"/>
      <c r="K88" s="301">
        <v>3654.73</v>
      </c>
      <c r="L88" s="301">
        <v>-25733.34</v>
      </c>
      <c r="M88" s="301">
        <v>0</v>
      </c>
      <c r="N88" s="302">
        <f t="shared" si="2"/>
        <v>4551.4012913938523</v>
      </c>
      <c r="O88" s="301">
        <v>176155.2</v>
      </c>
      <c r="P88" s="301">
        <v>34511.29</v>
      </c>
      <c r="Q88" s="301">
        <v>7615.7</v>
      </c>
      <c r="R88" s="301">
        <v>-76.2</v>
      </c>
      <c r="S88" s="301">
        <v>127830.5</v>
      </c>
      <c r="T88" s="301">
        <v>85198.9</v>
      </c>
      <c r="U88" s="301">
        <v>59700.4</v>
      </c>
      <c r="V88" s="301">
        <v>25755.25</v>
      </c>
      <c r="W88" s="302">
        <f t="shared" si="3"/>
        <v>2819946.5112913935</v>
      </c>
      <c r="X88" s="301">
        <v>895</v>
      </c>
      <c r="Y88" s="301">
        <v>0</v>
      </c>
      <c r="Z88" s="303">
        <v>0.02</v>
      </c>
      <c r="AA88" s="301">
        <v>176</v>
      </c>
      <c r="AB88" s="301">
        <v>176</v>
      </c>
      <c r="AC88" s="301">
        <v>0</v>
      </c>
      <c r="AD88" s="301">
        <v>0</v>
      </c>
      <c r="AE88" s="301">
        <v>0</v>
      </c>
    </row>
    <row r="89" spans="1:31" x14ac:dyDescent="0.25">
      <c r="A89" s="148">
        <v>5540</v>
      </c>
      <c r="B89" s="293" t="s">
        <v>184</v>
      </c>
      <c r="C89" s="301">
        <v>1874</v>
      </c>
      <c r="D89" s="304">
        <v>72.5</v>
      </c>
      <c r="E89" s="305">
        <v>0.8</v>
      </c>
      <c r="F89" s="300">
        <v>3711921.19</v>
      </c>
      <c r="G89" s="301">
        <v>589421.87</v>
      </c>
      <c r="H89" s="301">
        <v>-46374.75</v>
      </c>
      <c r="I89" s="301">
        <v>8230.35</v>
      </c>
      <c r="J89" s="301"/>
      <c r="K89" s="301">
        <v>26252.06</v>
      </c>
      <c r="L89" s="301">
        <v>-45048.75</v>
      </c>
      <c r="M89" s="301">
        <v>0</v>
      </c>
      <c r="N89" s="302">
        <f t="shared" si="2"/>
        <v>-3765.5862533905292</v>
      </c>
      <c r="O89" s="301">
        <v>296388.3</v>
      </c>
      <c r="P89" s="301">
        <v>89673.34</v>
      </c>
      <c r="Q89" s="301">
        <v>14558.5</v>
      </c>
      <c r="R89" s="301">
        <v>-476.2</v>
      </c>
      <c r="S89" s="301">
        <v>97168.6</v>
      </c>
      <c r="T89" s="301">
        <v>50767.9</v>
      </c>
      <c r="U89" s="301">
        <v>45076</v>
      </c>
      <c r="V89" s="301">
        <v>14367.55</v>
      </c>
      <c r="W89" s="302">
        <f t="shared" si="3"/>
        <v>4848160.3737466075</v>
      </c>
      <c r="X89" s="301">
        <v>1183</v>
      </c>
      <c r="Y89" s="301">
        <v>226</v>
      </c>
      <c r="Z89" s="303">
        <v>5.5E-2</v>
      </c>
      <c r="AA89" s="301">
        <v>222</v>
      </c>
      <c r="AB89" s="301">
        <v>119</v>
      </c>
      <c r="AC89" s="301">
        <v>0</v>
      </c>
      <c r="AD89" s="301">
        <v>0</v>
      </c>
      <c r="AE89" s="301">
        <v>0</v>
      </c>
    </row>
    <row r="90" spans="1:31" x14ac:dyDescent="0.25">
      <c r="A90" s="148">
        <v>5541</v>
      </c>
      <c r="B90" s="293" t="s">
        <v>185</v>
      </c>
      <c r="C90" s="301">
        <v>1211</v>
      </c>
      <c r="D90" s="304">
        <v>75.5</v>
      </c>
      <c r="E90" s="305">
        <v>1</v>
      </c>
      <c r="F90" s="300">
        <v>2371616.98</v>
      </c>
      <c r="G90" s="301">
        <v>363331.51</v>
      </c>
      <c r="H90" s="301">
        <v>68687.5</v>
      </c>
      <c r="I90" s="301">
        <v>6625.95</v>
      </c>
      <c r="J90" s="301"/>
      <c r="K90" s="301">
        <v>54.32</v>
      </c>
      <c r="L90" s="301">
        <v>-8609.93</v>
      </c>
      <c r="M90" s="301">
        <v>0</v>
      </c>
      <c r="N90" s="302">
        <f t="shared" si="2"/>
        <v>7434.886694125873</v>
      </c>
      <c r="O90" s="301">
        <v>235799.85</v>
      </c>
      <c r="P90" s="301">
        <v>47105.599999999999</v>
      </c>
      <c r="Q90" s="301">
        <v>4099.05</v>
      </c>
      <c r="R90" s="301">
        <v>0</v>
      </c>
      <c r="S90" s="301">
        <v>19397.5</v>
      </c>
      <c r="T90" s="301">
        <v>31713.200000000001</v>
      </c>
      <c r="U90" s="301">
        <v>5565</v>
      </c>
      <c r="V90" s="301">
        <v>15859.35</v>
      </c>
      <c r="W90" s="302">
        <f t="shared" si="3"/>
        <v>3168680.7666941262</v>
      </c>
      <c r="X90" s="301">
        <v>1063</v>
      </c>
      <c r="Y90" s="301">
        <v>0</v>
      </c>
      <c r="Z90" s="303">
        <v>2.9000000000000001E-2</v>
      </c>
      <c r="AA90" s="301">
        <v>217</v>
      </c>
      <c r="AB90" s="301">
        <v>121</v>
      </c>
      <c r="AC90" s="301">
        <v>0</v>
      </c>
      <c r="AD90" s="301">
        <v>0</v>
      </c>
      <c r="AE90" s="301">
        <v>0</v>
      </c>
    </row>
    <row r="91" spans="1:31" x14ac:dyDescent="0.25">
      <c r="A91" s="148">
        <v>5551</v>
      </c>
      <c r="B91" s="293" t="s">
        <v>186</v>
      </c>
      <c r="C91" s="301">
        <v>518</v>
      </c>
      <c r="D91" s="304">
        <v>57</v>
      </c>
      <c r="E91" s="305">
        <v>1</v>
      </c>
      <c r="F91" s="300">
        <v>782067.34</v>
      </c>
      <c r="G91" s="301">
        <v>134567.48000000001</v>
      </c>
      <c r="H91" s="301">
        <v>35890.9</v>
      </c>
      <c r="I91" s="301">
        <v>15267.8</v>
      </c>
      <c r="J91" s="301"/>
      <c r="K91" s="301"/>
      <c r="L91" s="301">
        <v>-565.08000000000004</v>
      </c>
      <c r="M91" s="301">
        <v>0</v>
      </c>
      <c r="N91" s="302">
        <f t="shared" si="2"/>
        <v>5050.3480841573091</v>
      </c>
      <c r="O91" s="301">
        <v>121378.5</v>
      </c>
      <c r="P91" s="301">
        <v>3677.13</v>
      </c>
      <c r="Q91" s="301">
        <v>12553.55</v>
      </c>
      <c r="R91" s="301">
        <v>-176.95</v>
      </c>
      <c r="S91" s="301">
        <v>74376.5</v>
      </c>
      <c r="T91" s="301"/>
      <c r="U91" s="301">
        <v>65638.95</v>
      </c>
      <c r="V91" s="301">
        <v>15353.85</v>
      </c>
      <c r="W91" s="302">
        <f t="shared" si="3"/>
        <v>1265080.3180841573</v>
      </c>
      <c r="X91" s="301">
        <v>741</v>
      </c>
      <c r="Y91" s="301">
        <v>21</v>
      </c>
      <c r="Z91" s="303">
        <v>0.155</v>
      </c>
      <c r="AA91" s="301">
        <v>59</v>
      </c>
      <c r="AB91" s="301">
        <v>36</v>
      </c>
      <c r="AC91" s="301">
        <v>0</v>
      </c>
      <c r="AD91" s="301">
        <v>0</v>
      </c>
      <c r="AE91" s="301">
        <v>0</v>
      </c>
    </row>
    <row r="92" spans="1:31" x14ac:dyDescent="0.25">
      <c r="A92" s="148">
        <v>5552</v>
      </c>
      <c r="B92" s="293" t="s">
        <v>187</v>
      </c>
      <c r="C92" s="301">
        <v>682</v>
      </c>
      <c r="D92" s="304">
        <v>72</v>
      </c>
      <c r="E92" s="305">
        <v>1</v>
      </c>
      <c r="F92" s="300">
        <v>992069.41</v>
      </c>
      <c r="G92" s="301">
        <v>241265.36</v>
      </c>
      <c r="H92" s="301">
        <v>36879.5</v>
      </c>
      <c r="I92" s="301">
        <v>1120.3499999999999</v>
      </c>
      <c r="J92" s="301"/>
      <c r="K92" s="301">
        <v>798.07</v>
      </c>
      <c r="L92" s="301">
        <v>-3197.03</v>
      </c>
      <c r="M92" s="301">
        <v>-350</v>
      </c>
      <c r="N92" s="302">
        <f t="shared" si="2"/>
        <v>3751.3163869638033</v>
      </c>
      <c r="O92" s="301">
        <v>144796.15</v>
      </c>
      <c r="P92" s="301">
        <v>22126.2</v>
      </c>
      <c r="Q92" s="301">
        <v>6331.1</v>
      </c>
      <c r="R92" s="301">
        <v>0</v>
      </c>
      <c r="S92" s="301">
        <v>68864.45</v>
      </c>
      <c r="T92" s="301">
        <v>62797.9</v>
      </c>
      <c r="U92" s="301">
        <v>68291.7</v>
      </c>
      <c r="V92" s="301">
        <v>88690.1</v>
      </c>
      <c r="W92" s="302">
        <f t="shared" si="3"/>
        <v>1734234.5763869637</v>
      </c>
      <c r="X92" s="301">
        <v>1681</v>
      </c>
      <c r="Y92" s="301">
        <v>682</v>
      </c>
      <c r="Z92" s="303">
        <v>0.16800000000000001</v>
      </c>
      <c r="AA92" s="301">
        <v>70</v>
      </c>
      <c r="AB92" s="301">
        <v>50</v>
      </c>
      <c r="AC92" s="301">
        <v>0</v>
      </c>
      <c r="AD92" s="301">
        <v>0</v>
      </c>
      <c r="AE92" s="301">
        <v>0</v>
      </c>
    </row>
    <row r="93" spans="1:31" x14ac:dyDescent="0.25">
      <c r="A93" s="148">
        <v>5553</v>
      </c>
      <c r="B93" s="293" t="s">
        <v>188</v>
      </c>
      <c r="C93" s="301">
        <v>1071</v>
      </c>
      <c r="D93" s="304">
        <v>65</v>
      </c>
      <c r="E93" s="305">
        <v>1</v>
      </c>
      <c r="F93" s="300">
        <v>1774778.22</v>
      </c>
      <c r="G93" s="301">
        <v>262501.45</v>
      </c>
      <c r="H93" s="301">
        <v>220607.25</v>
      </c>
      <c r="I93" s="301">
        <v>14661.5</v>
      </c>
      <c r="J93" s="301"/>
      <c r="K93" s="301">
        <v>832.43</v>
      </c>
      <c r="L93" s="301">
        <v>-98826.85</v>
      </c>
      <c r="M93" s="301">
        <v>0</v>
      </c>
      <c r="N93" s="302">
        <f t="shared" si="2"/>
        <v>23225.552659168137</v>
      </c>
      <c r="O93" s="301">
        <v>254165.75</v>
      </c>
      <c r="P93" s="301">
        <v>7509.84</v>
      </c>
      <c r="Q93" s="301">
        <v>35751.35</v>
      </c>
      <c r="R93" s="301">
        <v>-877.4</v>
      </c>
      <c r="S93" s="301">
        <v>150467.45000000001</v>
      </c>
      <c r="T93" s="301">
        <v>17</v>
      </c>
      <c r="U93" s="301">
        <v>93746.05</v>
      </c>
      <c r="V93" s="301">
        <v>277657.75</v>
      </c>
      <c r="W93" s="302">
        <f t="shared" si="3"/>
        <v>3016217.3426591679</v>
      </c>
      <c r="X93" s="301">
        <v>385</v>
      </c>
      <c r="Y93" s="301">
        <v>0</v>
      </c>
      <c r="Z93" s="303">
        <v>6.5000000000000002E-2</v>
      </c>
      <c r="AA93" s="301">
        <v>115</v>
      </c>
      <c r="AB93" s="301">
        <v>64</v>
      </c>
      <c r="AC93" s="301">
        <v>0</v>
      </c>
      <c r="AD93" s="301">
        <v>0</v>
      </c>
      <c r="AE93" s="301">
        <v>0</v>
      </c>
    </row>
    <row r="94" spans="1:31" x14ac:dyDescent="0.25">
      <c r="A94" s="148">
        <v>5554</v>
      </c>
      <c r="B94" s="293" t="s">
        <v>189</v>
      </c>
      <c r="C94" s="301">
        <v>1025</v>
      </c>
      <c r="D94" s="304">
        <v>71</v>
      </c>
      <c r="E94" s="305">
        <v>1</v>
      </c>
      <c r="F94" s="300">
        <v>1785319.61</v>
      </c>
      <c r="G94" s="301">
        <v>364578.98</v>
      </c>
      <c r="H94" s="301">
        <v>-10006.700000000001</v>
      </c>
      <c r="I94" s="301">
        <v>1601.65</v>
      </c>
      <c r="J94" s="301"/>
      <c r="K94" s="301">
        <v>133.83000000000001</v>
      </c>
      <c r="L94" s="301">
        <v>-30290.69</v>
      </c>
      <c r="M94" s="301">
        <v>2350</v>
      </c>
      <c r="N94" s="302">
        <f t="shared" si="2"/>
        <v>-829.7401647177586</v>
      </c>
      <c r="O94" s="301">
        <v>199938.2</v>
      </c>
      <c r="P94" s="301">
        <v>28935.93</v>
      </c>
      <c r="Q94" s="301">
        <v>5287.5</v>
      </c>
      <c r="R94" s="301">
        <v>-983.68</v>
      </c>
      <c r="S94" s="301">
        <v>63386.45</v>
      </c>
      <c r="T94" s="301">
        <v>73550.8</v>
      </c>
      <c r="U94" s="301">
        <v>109603.2</v>
      </c>
      <c r="V94" s="301">
        <v>31530.2</v>
      </c>
      <c r="W94" s="302">
        <f t="shared" si="3"/>
        <v>2624105.5398352826</v>
      </c>
      <c r="X94" s="301">
        <v>1136</v>
      </c>
      <c r="Y94" s="301">
        <v>1</v>
      </c>
      <c r="Z94" s="303">
        <v>0.251</v>
      </c>
      <c r="AA94" s="301">
        <v>132</v>
      </c>
      <c r="AB94" s="301">
        <v>65</v>
      </c>
      <c r="AC94" s="301">
        <v>0</v>
      </c>
      <c r="AD94" s="301">
        <v>0</v>
      </c>
      <c r="AE94" s="301">
        <v>0</v>
      </c>
    </row>
    <row r="95" spans="1:31" x14ac:dyDescent="0.25">
      <c r="A95" s="148">
        <v>5555</v>
      </c>
      <c r="B95" s="293" t="s">
        <v>190</v>
      </c>
      <c r="C95" s="301">
        <v>438</v>
      </c>
      <c r="D95" s="304">
        <v>69</v>
      </c>
      <c r="E95" s="305">
        <v>1</v>
      </c>
      <c r="F95" s="300">
        <v>677668.71</v>
      </c>
      <c r="G95" s="301">
        <v>159487.96</v>
      </c>
      <c r="H95" s="301">
        <v>271.75</v>
      </c>
      <c r="I95" s="301">
        <v>17641.45</v>
      </c>
      <c r="J95" s="301"/>
      <c r="K95" s="301">
        <v>15088.46</v>
      </c>
      <c r="L95" s="301">
        <v>-3227.7</v>
      </c>
      <c r="M95" s="301">
        <v>0</v>
      </c>
      <c r="N95" s="302">
        <f t="shared" si="2"/>
        <v>1768.3775252523367</v>
      </c>
      <c r="O95" s="301">
        <v>102012.65</v>
      </c>
      <c r="P95" s="301">
        <v>6142.48</v>
      </c>
      <c r="Q95" s="301">
        <v>2283.5</v>
      </c>
      <c r="R95" s="301">
        <v>0</v>
      </c>
      <c r="S95" s="301">
        <v>73964</v>
      </c>
      <c r="T95" s="301">
        <v>1232.5999999999999</v>
      </c>
      <c r="U95" s="301">
        <v>68083.8</v>
      </c>
      <c r="V95" s="301">
        <v>7206.1</v>
      </c>
      <c r="W95" s="302">
        <f t="shared" si="3"/>
        <v>1129624.1375252523</v>
      </c>
      <c r="X95" s="301">
        <v>405</v>
      </c>
      <c r="Y95" s="301">
        <v>0</v>
      </c>
      <c r="Z95" s="303">
        <v>0.23599999999999999</v>
      </c>
      <c r="AA95" s="301">
        <v>56</v>
      </c>
      <c r="AB95" s="301">
        <v>34</v>
      </c>
      <c r="AC95" s="301">
        <v>0</v>
      </c>
      <c r="AD95" s="301">
        <v>0</v>
      </c>
      <c r="AE95" s="301">
        <v>0</v>
      </c>
    </row>
    <row r="96" spans="1:31" x14ac:dyDescent="0.25">
      <c r="A96" s="148">
        <v>5556</v>
      </c>
      <c r="B96" s="293" t="s">
        <v>191</v>
      </c>
      <c r="C96" s="301">
        <v>431</v>
      </c>
      <c r="D96" s="304">
        <v>69</v>
      </c>
      <c r="E96" s="305">
        <v>1.2</v>
      </c>
      <c r="F96" s="300">
        <v>739019.45</v>
      </c>
      <c r="G96" s="301">
        <v>78107.66</v>
      </c>
      <c r="H96" s="301">
        <v>7025.65</v>
      </c>
      <c r="I96" s="301">
        <v>155.25</v>
      </c>
      <c r="J96" s="301"/>
      <c r="K96" s="301"/>
      <c r="L96" s="301">
        <v>-22658.74</v>
      </c>
      <c r="M96" s="301">
        <v>0</v>
      </c>
      <c r="N96" s="302">
        <f t="shared" si="2"/>
        <v>708.8930046605019</v>
      </c>
      <c r="O96" s="301">
        <v>92504.52</v>
      </c>
      <c r="P96" s="301">
        <v>1837.56</v>
      </c>
      <c r="Q96" s="301">
        <v>132.15</v>
      </c>
      <c r="R96" s="301">
        <v>0</v>
      </c>
      <c r="S96" s="301">
        <v>36300</v>
      </c>
      <c r="T96" s="301">
        <v>51988.1</v>
      </c>
      <c r="U96" s="301">
        <v>73878.899999999994</v>
      </c>
      <c r="V96" s="301">
        <v>588.25</v>
      </c>
      <c r="W96" s="302">
        <f t="shared" si="3"/>
        <v>1059587.6430046605</v>
      </c>
      <c r="X96" s="301">
        <v>679</v>
      </c>
      <c r="Y96" s="301">
        <v>0</v>
      </c>
      <c r="Z96" s="303">
        <v>0.249</v>
      </c>
      <c r="AA96" s="301">
        <v>60</v>
      </c>
      <c r="AB96" s="301">
        <v>42</v>
      </c>
      <c r="AC96" s="301">
        <v>0</v>
      </c>
      <c r="AD96" s="301">
        <v>0</v>
      </c>
      <c r="AE96" s="301">
        <v>0</v>
      </c>
    </row>
    <row r="97" spans="1:31" x14ac:dyDescent="0.25">
      <c r="A97" s="148">
        <v>5557</v>
      </c>
      <c r="B97" s="293" t="s">
        <v>192</v>
      </c>
      <c r="C97" s="301">
        <v>220</v>
      </c>
      <c r="D97" s="304">
        <v>69</v>
      </c>
      <c r="E97" s="305">
        <v>1</v>
      </c>
      <c r="F97" s="300">
        <v>285472.07</v>
      </c>
      <c r="G97" s="301">
        <v>32057.01</v>
      </c>
      <c r="H97" s="301">
        <v>4841.7</v>
      </c>
      <c r="I97" s="301">
        <v>157.6</v>
      </c>
      <c r="J97" s="301"/>
      <c r="K97" s="301">
        <v>1041.33</v>
      </c>
      <c r="L97" s="301">
        <v>-8954.31</v>
      </c>
      <c r="M97" s="301">
        <v>0</v>
      </c>
      <c r="N97" s="302">
        <f t="shared" si="2"/>
        <v>493.52710637931841</v>
      </c>
      <c r="O97" s="301">
        <v>37721.1</v>
      </c>
      <c r="P97" s="301">
        <v>1658.57</v>
      </c>
      <c r="Q97" s="301">
        <v>847.95</v>
      </c>
      <c r="R97" s="301">
        <v>0</v>
      </c>
      <c r="S97" s="301">
        <v>10563.6</v>
      </c>
      <c r="T97" s="301"/>
      <c r="U97" s="301">
        <v>9331.2000000000007</v>
      </c>
      <c r="V97" s="301">
        <v>0</v>
      </c>
      <c r="W97" s="302">
        <f t="shared" si="3"/>
        <v>375231.34710637934</v>
      </c>
      <c r="X97" s="301">
        <v>790</v>
      </c>
      <c r="Y97" s="301">
        <v>2</v>
      </c>
      <c r="Z97" s="303">
        <v>0.223</v>
      </c>
      <c r="AA97" s="301">
        <v>27</v>
      </c>
      <c r="AB97" s="301">
        <v>23</v>
      </c>
      <c r="AC97" s="301">
        <v>0</v>
      </c>
      <c r="AD97" s="301">
        <v>0</v>
      </c>
      <c r="AE97" s="301">
        <v>0</v>
      </c>
    </row>
    <row r="98" spans="1:31" x14ac:dyDescent="0.25">
      <c r="A98" s="148">
        <v>5559</v>
      </c>
      <c r="B98" s="293" t="s">
        <v>193</v>
      </c>
      <c r="C98" s="301">
        <v>464</v>
      </c>
      <c r="D98" s="304">
        <v>68</v>
      </c>
      <c r="E98" s="305">
        <v>1</v>
      </c>
      <c r="F98" s="300">
        <v>924238.21</v>
      </c>
      <c r="G98" s="301">
        <v>257090.33</v>
      </c>
      <c r="H98" s="301">
        <v>277190.45</v>
      </c>
      <c r="I98" s="301">
        <v>-492.4</v>
      </c>
      <c r="J98" s="301"/>
      <c r="K98" s="301">
        <v>671.92</v>
      </c>
      <c r="L98" s="301">
        <v>-8881.1299999999992</v>
      </c>
      <c r="M98" s="301">
        <v>0</v>
      </c>
      <c r="N98" s="302">
        <f t="shared" si="2"/>
        <v>27315.421750505062</v>
      </c>
      <c r="O98" s="301">
        <v>99456.9</v>
      </c>
      <c r="P98" s="301">
        <v>2382.98</v>
      </c>
      <c r="Q98" s="301">
        <v>4391</v>
      </c>
      <c r="R98" s="301">
        <v>-333.2</v>
      </c>
      <c r="S98" s="301">
        <v>21065</v>
      </c>
      <c r="T98" s="301">
        <v>-28</v>
      </c>
      <c r="U98" s="301">
        <v>45675</v>
      </c>
      <c r="V98" s="301">
        <v>8772.9500000000007</v>
      </c>
      <c r="W98" s="302">
        <f t="shared" si="3"/>
        <v>1658515.431750505</v>
      </c>
      <c r="X98" s="301">
        <v>473</v>
      </c>
      <c r="Y98" s="301">
        <v>0</v>
      </c>
      <c r="Z98" s="303">
        <v>0.08</v>
      </c>
      <c r="AA98" s="301">
        <v>55</v>
      </c>
      <c r="AB98" s="301">
        <v>41</v>
      </c>
      <c r="AC98" s="301">
        <v>0</v>
      </c>
      <c r="AD98" s="301">
        <v>0</v>
      </c>
      <c r="AE98" s="301">
        <v>0</v>
      </c>
    </row>
    <row r="99" spans="1:31" x14ac:dyDescent="0.25">
      <c r="A99" s="148">
        <v>5560</v>
      </c>
      <c r="B99" s="293" t="s">
        <v>194</v>
      </c>
      <c r="C99" s="301">
        <v>241</v>
      </c>
      <c r="D99" s="304">
        <v>70</v>
      </c>
      <c r="E99" s="305">
        <v>1</v>
      </c>
      <c r="F99" s="300">
        <v>446198.32</v>
      </c>
      <c r="G99" s="301">
        <v>63899.77</v>
      </c>
      <c r="H99" s="301">
        <v>1368</v>
      </c>
      <c r="I99" s="301">
        <v>392.85</v>
      </c>
      <c r="J99" s="301"/>
      <c r="K99" s="301"/>
      <c r="L99" s="301">
        <v>-5451.92</v>
      </c>
      <c r="M99" s="301">
        <v>0</v>
      </c>
      <c r="N99" s="302">
        <f t="shared" si="2"/>
        <v>173.82977722241569</v>
      </c>
      <c r="O99" s="301">
        <v>47581.9</v>
      </c>
      <c r="P99" s="301">
        <v>6989.96</v>
      </c>
      <c r="Q99" s="301"/>
      <c r="R99" s="301">
        <v>0</v>
      </c>
      <c r="S99" s="301">
        <v>18425</v>
      </c>
      <c r="T99" s="301">
        <v>3962.6</v>
      </c>
      <c r="U99" s="301">
        <v>9501</v>
      </c>
      <c r="V99" s="301">
        <v>0</v>
      </c>
      <c r="W99" s="302">
        <f t="shared" si="3"/>
        <v>593041.30977722234</v>
      </c>
      <c r="X99" s="301">
        <v>346</v>
      </c>
      <c r="Y99" s="301">
        <v>0</v>
      </c>
      <c r="Z99" s="303">
        <v>0.307</v>
      </c>
      <c r="AA99" s="301">
        <v>29</v>
      </c>
      <c r="AB99" s="301">
        <v>26</v>
      </c>
      <c r="AC99" s="301">
        <v>0</v>
      </c>
      <c r="AD99" s="301">
        <v>0</v>
      </c>
      <c r="AE99" s="301">
        <v>0</v>
      </c>
    </row>
    <row r="100" spans="1:31" x14ac:dyDescent="0.25">
      <c r="A100" s="148">
        <v>5561</v>
      </c>
      <c r="B100" s="293" t="s">
        <v>195</v>
      </c>
      <c r="C100" s="301">
        <v>3396</v>
      </c>
      <c r="D100" s="304">
        <v>69</v>
      </c>
      <c r="E100" s="305">
        <v>1</v>
      </c>
      <c r="F100" s="300">
        <v>6249685.6699999999</v>
      </c>
      <c r="G100" s="301">
        <v>1353312.96</v>
      </c>
      <c r="H100" s="301">
        <v>217637.05</v>
      </c>
      <c r="I100" s="301">
        <v>14701.55</v>
      </c>
      <c r="J100" s="301"/>
      <c r="K100" s="301">
        <v>20701.96</v>
      </c>
      <c r="L100" s="301">
        <v>-91878.85</v>
      </c>
      <c r="M100" s="301">
        <v>0</v>
      </c>
      <c r="N100" s="302">
        <f t="shared" si="2"/>
        <v>22936.290472310502</v>
      </c>
      <c r="O100" s="301">
        <v>705570.05</v>
      </c>
      <c r="P100" s="301">
        <v>120277.04</v>
      </c>
      <c r="Q100" s="301">
        <v>63902.35</v>
      </c>
      <c r="R100" s="301">
        <v>-1654.35</v>
      </c>
      <c r="S100" s="301">
        <v>353576.3</v>
      </c>
      <c r="T100" s="301">
        <v>211087.9</v>
      </c>
      <c r="U100" s="301">
        <v>235083.6</v>
      </c>
      <c r="V100" s="301">
        <v>289118.05</v>
      </c>
      <c r="W100" s="302">
        <f t="shared" si="3"/>
        <v>9764057.5704723112</v>
      </c>
      <c r="X100" s="301">
        <v>768</v>
      </c>
      <c r="Y100" s="301">
        <v>0</v>
      </c>
      <c r="Z100" s="303">
        <v>5.3999999999999999E-2</v>
      </c>
      <c r="AA100" s="301">
        <v>397</v>
      </c>
      <c r="AB100" s="301">
        <v>108</v>
      </c>
      <c r="AC100" s="301">
        <v>0</v>
      </c>
      <c r="AD100" s="301">
        <v>0</v>
      </c>
      <c r="AE100" s="301">
        <v>0</v>
      </c>
    </row>
    <row r="101" spans="1:31" x14ac:dyDescent="0.25">
      <c r="A101" s="148">
        <v>5562</v>
      </c>
      <c r="B101" s="293" t="s">
        <v>196</v>
      </c>
      <c r="C101" s="301">
        <v>145</v>
      </c>
      <c r="D101" s="304">
        <v>70</v>
      </c>
      <c r="E101" s="305">
        <v>1.2</v>
      </c>
      <c r="F101" s="300">
        <v>151473.07999999999</v>
      </c>
      <c r="G101" s="301">
        <v>121660.63</v>
      </c>
      <c r="H101" s="301">
        <v>300.05</v>
      </c>
      <c r="I101" s="301">
        <v>440.15</v>
      </c>
      <c r="J101" s="301"/>
      <c r="K101" s="301">
        <v>10813.52</v>
      </c>
      <c r="L101" s="301">
        <v>-10541.68</v>
      </c>
      <c r="M101" s="301">
        <v>0</v>
      </c>
      <c r="N101" s="302">
        <f t="shared" si="2"/>
        <v>73.071982906001139</v>
      </c>
      <c r="O101" s="301">
        <v>39690.85</v>
      </c>
      <c r="P101" s="301">
        <v>10728.68</v>
      </c>
      <c r="Q101" s="301">
        <v>-104.5</v>
      </c>
      <c r="R101" s="301">
        <v>0</v>
      </c>
      <c r="S101" s="301">
        <v>20295</v>
      </c>
      <c r="T101" s="301">
        <v>4907.6000000000004</v>
      </c>
      <c r="U101" s="301">
        <v>22074.95</v>
      </c>
      <c r="V101" s="301">
        <v>741.95</v>
      </c>
      <c r="W101" s="302">
        <f t="shared" si="3"/>
        <v>372553.351982906</v>
      </c>
      <c r="X101" s="301">
        <v>551</v>
      </c>
      <c r="Y101" s="301">
        <v>145</v>
      </c>
      <c r="Z101" s="303">
        <v>0.30099999999999999</v>
      </c>
      <c r="AA101" s="301">
        <v>10</v>
      </c>
      <c r="AB101" s="301">
        <v>10</v>
      </c>
      <c r="AC101" s="301">
        <v>0</v>
      </c>
      <c r="AD101" s="301">
        <v>0</v>
      </c>
      <c r="AE101" s="301">
        <v>0</v>
      </c>
    </row>
    <row r="102" spans="1:31" x14ac:dyDescent="0.25">
      <c r="A102" s="148">
        <v>5563</v>
      </c>
      <c r="B102" s="293" t="s">
        <v>77</v>
      </c>
      <c r="C102" s="301">
        <v>144</v>
      </c>
      <c r="D102" s="304">
        <v>80</v>
      </c>
      <c r="E102" s="305">
        <v>1</v>
      </c>
      <c r="F102" s="300">
        <v>252106.42</v>
      </c>
      <c r="G102" s="301">
        <v>39615.800000000003</v>
      </c>
      <c r="H102" s="301">
        <v>-218.55</v>
      </c>
      <c r="I102" s="301">
        <v>48.2</v>
      </c>
      <c r="J102" s="301"/>
      <c r="K102" s="301"/>
      <c r="L102" s="301">
        <v>-173</v>
      </c>
      <c r="M102" s="301">
        <v>0</v>
      </c>
      <c r="N102" s="302">
        <f t="shared" si="2"/>
        <v>-16.816822869545117</v>
      </c>
      <c r="O102" s="301">
        <v>23396.3</v>
      </c>
      <c r="P102" s="301">
        <v>7066.88</v>
      </c>
      <c r="Q102" s="301"/>
      <c r="R102" s="301">
        <v>0</v>
      </c>
      <c r="S102" s="301">
        <v>20996.1</v>
      </c>
      <c r="T102" s="301">
        <v>2053.8000000000002</v>
      </c>
      <c r="U102" s="301">
        <v>17610.650000000001</v>
      </c>
      <c r="V102" s="301">
        <v>0</v>
      </c>
      <c r="W102" s="302">
        <f t="shared" si="3"/>
        <v>362485.78317713051</v>
      </c>
      <c r="X102" s="301">
        <v>320</v>
      </c>
      <c r="Y102" s="301">
        <v>144</v>
      </c>
      <c r="Z102" s="303">
        <v>0.24399999999999999</v>
      </c>
      <c r="AA102" s="301">
        <v>20</v>
      </c>
      <c r="AB102" s="301">
        <v>20</v>
      </c>
      <c r="AC102" s="301">
        <v>0</v>
      </c>
      <c r="AD102" s="301">
        <v>0</v>
      </c>
      <c r="AE102" s="301">
        <v>0</v>
      </c>
    </row>
    <row r="103" spans="1:31" x14ac:dyDescent="0.25">
      <c r="A103" s="148">
        <v>5564</v>
      </c>
      <c r="B103" s="293" t="s">
        <v>197</v>
      </c>
      <c r="C103" s="301">
        <v>106</v>
      </c>
      <c r="D103" s="304">
        <v>76</v>
      </c>
      <c r="E103" s="305">
        <v>0.8</v>
      </c>
      <c r="F103" s="300">
        <v>162354.68</v>
      </c>
      <c r="G103" s="301">
        <v>10797.91</v>
      </c>
      <c r="H103" s="301">
        <v>20.3</v>
      </c>
      <c r="I103" s="301">
        <v>33.799999999999997</v>
      </c>
      <c r="J103" s="301"/>
      <c r="K103" s="301"/>
      <c r="L103" s="301">
        <v>-1158.83</v>
      </c>
      <c r="M103" s="301">
        <v>0</v>
      </c>
      <c r="N103" s="302">
        <f t="shared" si="2"/>
        <v>5.3407109905629033</v>
      </c>
      <c r="O103" s="301">
        <v>12188.05</v>
      </c>
      <c r="P103" s="301"/>
      <c r="Q103" s="301"/>
      <c r="R103" s="301">
        <v>0</v>
      </c>
      <c r="S103" s="301">
        <v>14047</v>
      </c>
      <c r="T103" s="301"/>
      <c r="U103" s="301"/>
      <c r="V103" s="301">
        <v>0</v>
      </c>
      <c r="W103" s="302">
        <f t="shared" si="3"/>
        <v>198288.25071099054</v>
      </c>
      <c r="X103" s="301">
        <v>201</v>
      </c>
      <c r="Y103" s="301">
        <v>0</v>
      </c>
      <c r="Z103" s="303">
        <v>0.40899999999999997</v>
      </c>
      <c r="AA103" s="301">
        <v>18</v>
      </c>
      <c r="AB103" s="301">
        <v>18</v>
      </c>
      <c r="AC103" s="301">
        <v>0</v>
      </c>
      <c r="AD103" s="301">
        <v>0</v>
      </c>
      <c r="AE103" s="301">
        <v>0</v>
      </c>
    </row>
    <row r="104" spans="1:31" x14ac:dyDescent="0.25">
      <c r="A104" s="148">
        <v>5565</v>
      </c>
      <c r="B104" s="293" t="s">
        <v>198</v>
      </c>
      <c r="C104" s="301">
        <v>520</v>
      </c>
      <c r="D104" s="304">
        <v>63.5</v>
      </c>
      <c r="E104" s="305">
        <v>1</v>
      </c>
      <c r="F104" s="300">
        <v>910761.38</v>
      </c>
      <c r="G104" s="301">
        <v>129066.94</v>
      </c>
      <c r="H104" s="301">
        <v>29662.6</v>
      </c>
      <c r="I104" s="301">
        <v>49247.95</v>
      </c>
      <c r="J104" s="301"/>
      <c r="K104" s="301"/>
      <c r="L104" s="301">
        <v>-8089.7</v>
      </c>
      <c r="M104" s="301">
        <v>-560</v>
      </c>
      <c r="N104" s="302">
        <f t="shared" si="2"/>
        <v>7789.9896794152219</v>
      </c>
      <c r="O104" s="301">
        <v>135301.95000000001</v>
      </c>
      <c r="P104" s="301">
        <v>4717.21</v>
      </c>
      <c r="Q104" s="301">
        <v>23875.35</v>
      </c>
      <c r="R104" s="301">
        <v>-261.02999999999997</v>
      </c>
      <c r="S104" s="301">
        <v>56220.45</v>
      </c>
      <c r="T104" s="301"/>
      <c r="U104" s="301">
        <v>74177.25</v>
      </c>
      <c r="V104" s="301">
        <v>56253.35</v>
      </c>
      <c r="W104" s="302">
        <f t="shared" si="3"/>
        <v>1468163.6896794154</v>
      </c>
      <c r="X104" s="301">
        <v>513</v>
      </c>
      <c r="Y104" s="301">
        <v>1</v>
      </c>
      <c r="Z104" s="303">
        <v>0.23899999999999999</v>
      </c>
      <c r="AA104" s="301">
        <v>54</v>
      </c>
      <c r="AB104" s="301">
        <v>43</v>
      </c>
      <c r="AC104" s="301">
        <v>0</v>
      </c>
      <c r="AD104" s="301">
        <v>0</v>
      </c>
      <c r="AE104" s="301">
        <v>0</v>
      </c>
    </row>
    <row r="105" spans="1:31" x14ac:dyDescent="0.25">
      <c r="A105" s="148">
        <v>5566</v>
      </c>
      <c r="B105" s="293" t="s">
        <v>199</v>
      </c>
      <c r="C105" s="301">
        <v>411</v>
      </c>
      <c r="D105" s="304">
        <v>81</v>
      </c>
      <c r="E105" s="305">
        <v>1.5</v>
      </c>
      <c r="F105" s="300">
        <v>765199.37</v>
      </c>
      <c r="G105" s="301">
        <v>65054.19</v>
      </c>
      <c r="H105" s="301">
        <v>805.35</v>
      </c>
      <c r="I105" s="301">
        <v>3114.9</v>
      </c>
      <c r="J105" s="301"/>
      <c r="K105" s="301">
        <v>1543.08</v>
      </c>
      <c r="L105" s="301">
        <v>-2241.89</v>
      </c>
      <c r="M105" s="301">
        <v>0</v>
      </c>
      <c r="N105" s="302">
        <f t="shared" si="2"/>
        <v>387.00410833187107</v>
      </c>
      <c r="O105" s="301">
        <v>100564</v>
      </c>
      <c r="P105" s="301">
        <v>13401.13</v>
      </c>
      <c r="Q105" s="301">
        <v>2760.45</v>
      </c>
      <c r="R105" s="301">
        <v>0</v>
      </c>
      <c r="S105" s="301">
        <v>50950.3</v>
      </c>
      <c r="T105" s="301">
        <v>74300.600000000006</v>
      </c>
      <c r="U105" s="301">
        <v>14162.4</v>
      </c>
      <c r="V105" s="301">
        <v>49491.15</v>
      </c>
      <c r="W105" s="302">
        <f t="shared" si="3"/>
        <v>1139492.0341083317</v>
      </c>
      <c r="X105" s="301">
        <v>3183</v>
      </c>
      <c r="Y105" s="301">
        <v>409</v>
      </c>
      <c r="Z105" s="303">
        <v>9.9000000000000005E-2</v>
      </c>
      <c r="AA105" s="301">
        <v>37</v>
      </c>
      <c r="AB105" s="301">
        <v>37</v>
      </c>
      <c r="AC105" s="301">
        <v>0</v>
      </c>
      <c r="AD105" s="301">
        <v>0</v>
      </c>
      <c r="AE105" s="301">
        <v>0</v>
      </c>
    </row>
    <row r="106" spans="1:31" x14ac:dyDescent="0.25">
      <c r="A106" s="148">
        <v>5568</v>
      </c>
      <c r="B106" s="293" t="s">
        <v>200</v>
      </c>
      <c r="C106" s="301">
        <v>5130</v>
      </c>
      <c r="D106" s="304">
        <v>70</v>
      </c>
      <c r="E106" s="305">
        <v>1</v>
      </c>
      <c r="F106" s="300">
        <v>5862312.7999999998</v>
      </c>
      <c r="G106" s="301">
        <v>957335.96</v>
      </c>
      <c r="H106" s="301">
        <v>395677.45</v>
      </c>
      <c r="I106" s="301">
        <v>48953.2</v>
      </c>
      <c r="J106" s="301"/>
      <c r="K106" s="301">
        <v>30651.95</v>
      </c>
      <c r="L106" s="301">
        <v>-242614.02</v>
      </c>
      <c r="M106" s="301">
        <v>-1468</v>
      </c>
      <c r="N106" s="302">
        <f t="shared" si="2"/>
        <v>43893.600724512529</v>
      </c>
      <c r="O106" s="301">
        <v>706695.25</v>
      </c>
      <c r="P106" s="301">
        <v>165964.81</v>
      </c>
      <c r="Q106" s="301">
        <v>52209.4</v>
      </c>
      <c r="R106" s="301">
        <v>-365.5</v>
      </c>
      <c r="S106" s="301">
        <v>252402.05</v>
      </c>
      <c r="T106" s="301">
        <v>205702.8</v>
      </c>
      <c r="U106" s="301">
        <v>261369.75</v>
      </c>
      <c r="V106" s="301">
        <v>2781681.25</v>
      </c>
      <c r="W106" s="302">
        <f t="shared" si="3"/>
        <v>11520402.750724513</v>
      </c>
      <c r="X106" s="301">
        <v>3882</v>
      </c>
      <c r="Y106" s="301">
        <v>5121</v>
      </c>
      <c r="Z106" s="303">
        <v>0.29599999999999999</v>
      </c>
      <c r="AA106" s="301">
        <v>468</v>
      </c>
      <c r="AB106" s="301">
        <v>102</v>
      </c>
      <c r="AC106" s="301">
        <v>0</v>
      </c>
      <c r="AD106" s="301">
        <v>0</v>
      </c>
      <c r="AE106" s="301">
        <v>0</v>
      </c>
    </row>
    <row r="107" spans="1:31" x14ac:dyDescent="0.25">
      <c r="A107" s="148">
        <v>5571</v>
      </c>
      <c r="B107" s="293" t="s">
        <v>201</v>
      </c>
      <c r="C107" s="301">
        <v>861</v>
      </c>
      <c r="D107" s="304">
        <v>71.5</v>
      </c>
      <c r="E107" s="305">
        <v>1.2</v>
      </c>
      <c r="F107" s="300">
        <v>1469797.43</v>
      </c>
      <c r="G107" s="301">
        <v>187312.69</v>
      </c>
      <c r="H107" s="301">
        <v>18614.900000000001</v>
      </c>
      <c r="I107" s="301">
        <v>297.35000000000002</v>
      </c>
      <c r="J107" s="301"/>
      <c r="K107" s="301"/>
      <c r="L107" s="301">
        <v>-8926.3700000000008</v>
      </c>
      <c r="M107" s="301">
        <v>0</v>
      </c>
      <c r="N107" s="302">
        <f t="shared" si="2"/>
        <v>1867.0029839422048</v>
      </c>
      <c r="O107" s="301">
        <v>208655.8</v>
      </c>
      <c r="P107" s="301">
        <v>17484.810000000001</v>
      </c>
      <c r="Q107" s="301">
        <v>9181</v>
      </c>
      <c r="R107" s="301">
        <v>-71.55</v>
      </c>
      <c r="S107" s="301">
        <v>138634.79999999999</v>
      </c>
      <c r="T107" s="301">
        <v>4634</v>
      </c>
      <c r="U107" s="301">
        <v>119557.6</v>
      </c>
      <c r="V107" s="301">
        <v>39035.800000000003</v>
      </c>
      <c r="W107" s="302">
        <f t="shared" si="3"/>
        <v>2206075.2629839419</v>
      </c>
      <c r="X107" s="301">
        <v>1431</v>
      </c>
      <c r="Y107" s="301">
        <v>637</v>
      </c>
      <c r="Z107" s="303">
        <v>0.23</v>
      </c>
      <c r="AA107" s="301">
        <v>118</v>
      </c>
      <c r="AB107" s="301">
        <v>116</v>
      </c>
      <c r="AC107" s="301">
        <v>0</v>
      </c>
      <c r="AD107" s="301">
        <v>0</v>
      </c>
      <c r="AE107" s="301">
        <v>0</v>
      </c>
    </row>
    <row r="108" spans="1:31" x14ac:dyDescent="0.25">
      <c r="A108" s="148">
        <v>5581</v>
      </c>
      <c r="B108" s="293" t="s">
        <v>202</v>
      </c>
      <c r="C108" s="301">
        <v>3922</v>
      </c>
      <c r="D108" s="304">
        <v>72</v>
      </c>
      <c r="E108" s="305">
        <v>1.5</v>
      </c>
      <c r="F108" s="453">
        <f>14083347.13-1619000</f>
        <v>12464347.130000001</v>
      </c>
      <c r="G108" s="301">
        <v>1965627.72</v>
      </c>
      <c r="H108" s="301">
        <v>538963.85</v>
      </c>
      <c r="I108" s="301">
        <v>20906.25</v>
      </c>
      <c r="J108" s="301">
        <v>42869.73</v>
      </c>
      <c r="K108" s="301">
        <v>86625.919999999998</v>
      </c>
      <c r="L108" s="301">
        <v>-227217.26</v>
      </c>
      <c r="M108" s="452">
        <f>-585400+577650</f>
        <v>-7750</v>
      </c>
      <c r="N108" s="302">
        <f t="shared" si="2"/>
        <v>55269.951873522215</v>
      </c>
      <c r="O108" s="301">
        <v>1586866.95</v>
      </c>
      <c r="P108" s="301">
        <v>117418.2</v>
      </c>
      <c r="Q108" s="301">
        <v>52887</v>
      </c>
      <c r="R108" s="301">
        <v>-14712.79</v>
      </c>
      <c r="S108" s="301">
        <v>585948.5</v>
      </c>
      <c r="T108" s="301">
        <v>80188</v>
      </c>
      <c r="U108" s="301">
        <v>607588.75</v>
      </c>
      <c r="V108" s="301">
        <v>27046.7</v>
      </c>
      <c r="W108" s="302">
        <f t="shared" si="3"/>
        <v>17982874.601873521</v>
      </c>
      <c r="X108" s="301">
        <v>261</v>
      </c>
      <c r="Y108" s="301">
        <v>272</v>
      </c>
      <c r="Z108" s="303">
        <v>0.26300000000000001</v>
      </c>
      <c r="AA108" s="301">
        <v>465</v>
      </c>
      <c r="AB108" s="301">
        <v>112</v>
      </c>
      <c r="AC108" s="301">
        <v>1604050</v>
      </c>
      <c r="AD108" s="301">
        <v>-254396.11999999988</v>
      </c>
      <c r="AE108" s="301">
        <v>1</v>
      </c>
    </row>
    <row r="109" spans="1:31" x14ac:dyDescent="0.25">
      <c r="A109" s="148">
        <v>5582</v>
      </c>
      <c r="B109" s="293" t="s">
        <v>203</v>
      </c>
      <c r="C109" s="301">
        <v>4855</v>
      </c>
      <c r="D109" s="304">
        <v>73</v>
      </c>
      <c r="E109" s="305">
        <v>1</v>
      </c>
      <c r="F109" s="300">
        <v>9748799.7200000007</v>
      </c>
      <c r="G109" s="301">
        <v>1216216.76</v>
      </c>
      <c r="H109" s="301">
        <v>485625.9</v>
      </c>
      <c r="I109" s="301">
        <v>250695.5</v>
      </c>
      <c r="J109" s="301"/>
      <c r="K109" s="301">
        <v>7361.89</v>
      </c>
      <c r="L109" s="301">
        <v>-135362.1</v>
      </c>
      <c r="M109" s="301">
        <v>-1084</v>
      </c>
      <c r="N109" s="302">
        <f t="shared" si="2"/>
        <v>72689.090454097299</v>
      </c>
      <c r="O109" s="301">
        <v>1036909.9</v>
      </c>
      <c r="P109" s="301">
        <v>310854.2</v>
      </c>
      <c r="Q109" s="301">
        <v>123981.75</v>
      </c>
      <c r="R109" s="301">
        <v>-7060.05</v>
      </c>
      <c r="S109" s="301">
        <v>453425.85</v>
      </c>
      <c r="T109" s="301">
        <v>105942.3</v>
      </c>
      <c r="U109" s="301">
        <v>245980.15</v>
      </c>
      <c r="V109" s="301">
        <v>462952.75</v>
      </c>
      <c r="W109" s="302">
        <f t="shared" si="3"/>
        <v>14377929.610454099</v>
      </c>
      <c r="X109" s="301">
        <v>453</v>
      </c>
      <c r="Y109" s="301">
        <v>0</v>
      </c>
      <c r="Z109" s="303">
        <v>3.1E-2</v>
      </c>
      <c r="AA109" s="301">
        <v>533</v>
      </c>
      <c r="AB109" s="301">
        <v>32</v>
      </c>
      <c r="AC109" s="301">
        <v>0</v>
      </c>
      <c r="AD109" s="301">
        <v>0</v>
      </c>
      <c r="AE109" s="301">
        <v>0</v>
      </c>
    </row>
    <row r="110" spans="1:31" x14ac:dyDescent="0.25">
      <c r="A110" s="148">
        <v>5583</v>
      </c>
      <c r="B110" s="293" t="s">
        <v>204</v>
      </c>
      <c r="C110" s="301">
        <v>10680</v>
      </c>
      <c r="D110" s="304">
        <v>63.5</v>
      </c>
      <c r="E110" s="305">
        <v>1</v>
      </c>
      <c r="F110" s="300">
        <v>14503234.050000001</v>
      </c>
      <c r="G110" s="301">
        <v>1898919.74</v>
      </c>
      <c r="H110" s="301">
        <v>6497066.8499999996</v>
      </c>
      <c r="I110" s="301">
        <v>370230.2</v>
      </c>
      <c r="J110" s="301"/>
      <c r="K110" s="301">
        <v>222234.34</v>
      </c>
      <c r="L110" s="301">
        <v>-375310.17</v>
      </c>
      <c r="M110" s="301">
        <v>-27083.32</v>
      </c>
      <c r="N110" s="302">
        <f t="shared" si="2"/>
        <v>677934.35915702779</v>
      </c>
      <c r="O110" s="301">
        <v>3044225.9</v>
      </c>
      <c r="P110" s="301">
        <v>1556964.22</v>
      </c>
      <c r="Q110" s="301">
        <v>599154</v>
      </c>
      <c r="R110" s="301">
        <v>-5517.98</v>
      </c>
      <c r="S110" s="301">
        <v>2139149.4</v>
      </c>
      <c r="T110" s="301">
        <v>2119271</v>
      </c>
      <c r="U110" s="301">
        <v>1092036.55</v>
      </c>
      <c r="V110" s="301">
        <v>3167974.65</v>
      </c>
      <c r="W110" s="302">
        <f t="shared" si="3"/>
        <v>37480483.789157018</v>
      </c>
      <c r="X110" s="301">
        <v>550</v>
      </c>
      <c r="Y110" s="301">
        <v>0</v>
      </c>
      <c r="Z110" s="303">
        <v>0.109</v>
      </c>
      <c r="AA110" s="301">
        <v>1151</v>
      </c>
      <c r="AB110" s="301">
        <v>46</v>
      </c>
      <c r="AC110" s="301">
        <v>5341090.2650237922</v>
      </c>
      <c r="AD110" s="301">
        <v>-789537.42497620825</v>
      </c>
      <c r="AE110" s="301">
        <v>1</v>
      </c>
    </row>
    <row r="111" spans="1:31" x14ac:dyDescent="0.25">
      <c r="A111" s="148">
        <v>5584</v>
      </c>
      <c r="B111" s="293" t="s">
        <v>205</v>
      </c>
      <c r="C111" s="301">
        <v>9905</v>
      </c>
      <c r="D111" s="304">
        <v>64.5</v>
      </c>
      <c r="E111" s="305">
        <v>1</v>
      </c>
      <c r="F111" s="300">
        <v>25079695.629999999</v>
      </c>
      <c r="G111" s="301">
        <v>4454826.8899999997</v>
      </c>
      <c r="H111" s="301">
        <v>597900.30000000005</v>
      </c>
      <c r="I111" s="301">
        <v>240146.3</v>
      </c>
      <c r="J111" s="301">
        <v>433651.65</v>
      </c>
      <c r="K111" s="301">
        <v>103047.62</v>
      </c>
      <c r="L111" s="301">
        <v>-196707.33</v>
      </c>
      <c r="M111" s="301">
        <v>-87960</v>
      </c>
      <c r="N111" s="302">
        <f t="shared" si="2"/>
        <v>82731.325087317455</v>
      </c>
      <c r="O111" s="301">
        <v>2698147.3</v>
      </c>
      <c r="P111" s="301">
        <v>503221.37</v>
      </c>
      <c r="Q111" s="301">
        <v>331856.09999999998</v>
      </c>
      <c r="R111" s="301">
        <v>-291699.46999999997</v>
      </c>
      <c r="S111" s="301">
        <v>1357226.75</v>
      </c>
      <c r="T111" s="301">
        <v>512242.8</v>
      </c>
      <c r="U111" s="301">
        <v>1128012.95</v>
      </c>
      <c r="V111" s="301">
        <v>357373.9</v>
      </c>
      <c r="W111" s="302">
        <f t="shared" si="3"/>
        <v>37303714.085087322</v>
      </c>
      <c r="X111" s="301">
        <v>460</v>
      </c>
      <c r="Y111" s="301">
        <v>6560</v>
      </c>
      <c r="Z111" s="303">
        <v>0.17499999999999999</v>
      </c>
      <c r="AA111" s="301">
        <v>1158</v>
      </c>
      <c r="AB111" s="301">
        <v>152</v>
      </c>
      <c r="AC111" s="301">
        <v>4595625</v>
      </c>
      <c r="AD111" s="301">
        <v>-661546.86000000034</v>
      </c>
      <c r="AE111" s="301">
        <v>0</v>
      </c>
    </row>
    <row r="112" spans="1:31" x14ac:dyDescent="0.25">
      <c r="A112" s="148">
        <v>5585</v>
      </c>
      <c r="B112" s="293" t="s">
        <v>206</v>
      </c>
      <c r="C112" s="301">
        <v>1482</v>
      </c>
      <c r="D112" s="304">
        <v>59</v>
      </c>
      <c r="E112" s="305">
        <v>1.5</v>
      </c>
      <c r="F112" s="300">
        <v>5965267.3899999997</v>
      </c>
      <c r="G112" s="301">
        <v>4826214.22</v>
      </c>
      <c r="H112" s="301">
        <v>57566.6</v>
      </c>
      <c r="I112" s="301">
        <v>3559.45</v>
      </c>
      <c r="J112" s="301">
        <v>750925.89</v>
      </c>
      <c r="K112" s="301">
        <v>228603.78</v>
      </c>
      <c r="L112" s="301">
        <v>-241199.24</v>
      </c>
      <c r="M112" s="301">
        <v>-9317</v>
      </c>
      <c r="N112" s="302">
        <f t="shared" si="2"/>
        <v>6034.3173206043912</v>
      </c>
      <c r="O112" s="301">
        <v>951755.15</v>
      </c>
      <c r="P112" s="301">
        <v>38020.800000000003</v>
      </c>
      <c r="Q112" s="301">
        <v>12786</v>
      </c>
      <c r="R112" s="301">
        <v>-19646.27</v>
      </c>
      <c r="S112" s="301">
        <v>181871.15</v>
      </c>
      <c r="T112" s="301">
        <v>3.8</v>
      </c>
      <c r="U112" s="301">
        <v>307286.95</v>
      </c>
      <c r="V112" s="301">
        <v>1553.15</v>
      </c>
      <c r="W112" s="302">
        <f t="shared" si="3"/>
        <v>13061286.137320604</v>
      </c>
      <c r="X112" s="301">
        <v>191</v>
      </c>
      <c r="Y112" s="301">
        <v>0</v>
      </c>
      <c r="Z112" s="303">
        <v>9.9000000000000005E-2</v>
      </c>
      <c r="AA112" s="301">
        <v>155</v>
      </c>
      <c r="AB112" s="301">
        <v>29</v>
      </c>
      <c r="AC112" s="301">
        <v>0</v>
      </c>
      <c r="AD112" s="301">
        <v>0</v>
      </c>
      <c r="AE112" s="301">
        <v>0</v>
      </c>
    </row>
    <row r="113" spans="1:31" x14ac:dyDescent="0.25">
      <c r="A113" s="148">
        <v>5586</v>
      </c>
      <c r="B113" s="293" t="s">
        <v>69</v>
      </c>
      <c r="C113" s="301">
        <v>145037</v>
      </c>
      <c r="D113" s="304">
        <v>78.5</v>
      </c>
      <c r="E113" s="305">
        <v>1.5</v>
      </c>
      <c r="F113" s="300">
        <v>322053684.51999998</v>
      </c>
      <c r="G113" s="301">
        <v>50084443.509999998</v>
      </c>
      <c r="H113" s="301">
        <v>100213899.20999999</v>
      </c>
      <c r="I113" s="301">
        <v>8350072.5999999996</v>
      </c>
      <c r="J113" s="301">
        <v>5260439.42</v>
      </c>
      <c r="K113" s="301">
        <v>1564389.62</v>
      </c>
      <c r="L113" s="301">
        <v>-7675123.0899999999</v>
      </c>
      <c r="M113" s="301">
        <v>-361640.9</v>
      </c>
      <c r="N113" s="302">
        <f t="shared" si="2"/>
        <v>10717353.002307361</v>
      </c>
      <c r="O113" s="301">
        <v>47536006</v>
      </c>
      <c r="P113" s="301">
        <v>25515335.539999999</v>
      </c>
      <c r="Q113" s="301">
        <v>6859959.75</v>
      </c>
      <c r="R113" s="301">
        <v>-2669875.0699999998</v>
      </c>
      <c r="S113" s="301">
        <v>10489039.550000001</v>
      </c>
      <c r="T113" s="301">
        <v>20473792.800000001</v>
      </c>
      <c r="U113" s="301">
        <v>10094383.85</v>
      </c>
      <c r="V113" s="301">
        <v>16253442.75</v>
      </c>
      <c r="W113" s="302">
        <f t="shared" si="3"/>
        <v>624759603.06230724</v>
      </c>
      <c r="X113" s="301">
        <v>4127</v>
      </c>
      <c r="Y113" s="301">
        <v>3997</v>
      </c>
      <c r="Z113" s="303">
        <v>0.106</v>
      </c>
      <c r="AA113" s="301">
        <v>14340</v>
      </c>
      <c r="AB113" s="301">
        <v>817</v>
      </c>
      <c r="AC113" s="301">
        <v>68330995.187872887</v>
      </c>
      <c r="AD113" s="301">
        <v>-10402127.202127121</v>
      </c>
      <c r="AE113" s="301">
        <v>1</v>
      </c>
    </row>
    <row r="114" spans="1:31" x14ac:dyDescent="0.25">
      <c r="A114" s="148">
        <v>5587</v>
      </c>
      <c r="B114" s="293" t="s">
        <v>70</v>
      </c>
      <c r="C114" s="301">
        <v>9543</v>
      </c>
      <c r="D114" s="304">
        <v>72</v>
      </c>
      <c r="E114" s="305">
        <v>1.2</v>
      </c>
      <c r="F114" s="300">
        <v>25720005.079999998</v>
      </c>
      <c r="G114" s="301">
        <v>4766993.47</v>
      </c>
      <c r="H114" s="301">
        <v>2614830.7000000002</v>
      </c>
      <c r="I114" s="301">
        <v>475115.25</v>
      </c>
      <c r="J114" s="301">
        <v>106783.4</v>
      </c>
      <c r="K114" s="301">
        <v>40093.53</v>
      </c>
      <c r="L114" s="301">
        <v>-559042.57999999996</v>
      </c>
      <c r="M114" s="301">
        <v>-94861</v>
      </c>
      <c r="N114" s="302">
        <f t="shared" si="2"/>
        <v>305037.12191146641</v>
      </c>
      <c r="O114" s="301">
        <v>3398665.7</v>
      </c>
      <c r="P114" s="301">
        <v>470017.82</v>
      </c>
      <c r="Q114" s="301">
        <v>354873.9</v>
      </c>
      <c r="R114" s="301">
        <v>-33024.68</v>
      </c>
      <c r="S114" s="301">
        <v>2161285.85</v>
      </c>
      <c r="T114" s="301">
        <v>1315011.5</v>
      </c>
      <c r="U114" s="301">
        <v>1254648.8999999999</v>
      </c>
      <c r="V114" s="301">
        <v>698780.8</v>
      </c>
      <c r="W114" s="302">
        <f t="shared" si="3"/>
        <v>42995214.761911467</v>
      </c>
      <c r="X114" s="301">
        <v>971</v>
      </c>
      <c r="Y114" s="301">
        <v>614</v>
      </c>
      <c r="Z114" s="303">
        <v>8.5000000000000006E-2</v>
      </c>
      <c r="AA114" s="301">
        <v>1259</v>
      </c>
      <c r="AB114" s="301">
        <v>72</v>
      </c>
      <c r="AC114" s="301">
        <v>3439575</v>
      </c>
      <c r="AD114" s="301">
        <v>-483495.85000000056</v>
      </c>
      <c r="AE114" s="301">
        <v>0</v>
      </c>
    </row>
    <row r="115" spans="1:31" x14ac:dyDescent="0.25">
      <c r="A115" s="148">
        <v>5588</v>
      </c>
      <c r="B115" s="293" t="s">
        <v>207</v>
      </c>
      <c r="C115" s="301">
        <v>1512</v>
      </c>
      <c r="D115" s="304">
        <v>66.5</v>
      </c>
      <c r="E115" s="305">
        <v>0.7</v>
      </c>
      <c r="F115" s="453">
        <f>5887124.28-778000</f>
        <v>5109124.28</v>
      </c>
      <c r="G115" s="301">
        <v>1947200.28</v>
      </c>
      <c r="H115" s="301">
        <v>401405.3</v>
      </c>
      <c r="I115" s="301">
        <v>425209.8</v>
      </c>
      <c r="J115" s="301">
        <v>407770.55</v>
      </c>
      <c r="K115" s="301">
        <v>16960.46</v>
      </c>
      <c r="L115" s="301">
        <v>-35078.17</v>
      </c>
      <c r="M115" s="301">
        <v>-1150</v>
      </c>
      <c r="N115" s="302">
        <f t="shared" si="2"/>
        <v>81602.816072740359</v>
      </c>
      <c r="O115" s="301">
        <v>405193.55</v>
      </c>
      <c r="P115" s="301">
        <v>389535.51</v>
      </c>
      <c r="Q115" s="301">
        <v>50212.45</v>
      </c>
      <c r="R115" s="301">
        <v>-55499.1</v>
      </c>
      <c r="S115" s="301">
        <v>478500</v>
      </c>
      <c r="T115" s="301">
        <v>128432.8</v>
      </c>
      <c r="U115" s="301">
        <v>364204.2</v>
      </c>
      <c r="V115" s="301">
        <v>34364.300000000003</v>
      </c>
      <c r="W115" s="302">
        <f t="shared" si="3"/>
        <v>10147989.026072741</v>
      </c>
      <c r="X115" s="301">
        <v>50</v>
      </c>
      <c r="Y115" s="301">
        <v>0</v>
      </c>
      <c r="Z115" s="303">
        <v>0.248</v>
      </c>
      <c r="AA115" s="301">
        <v>140</v>
      </c>
      <c r="AB115" s="301">
        <v>5</v>
      </c>
      <c r="AC115" s="301">
        <v>602875</v>
      </c>
      <c r="AD115" s="301">
        <v>-99495.100000000093</v>
      </c>
      <c r="AE115" s="301">
        <v>1</v>
      </c>
    </row>
    <row r="116" spans="1:31" x14ac:dyDescent="0.25">
      <c r="A116" s="148">
        <v>5589</v>
      </c>
      <c r="B116" s="293" t="s">
        <v>208</v>
      </c>
      <c r="C116" s="301">
        <v>12766</v>
      </c>
      <c r="D116" s="304">
        <v>72.5</v>
      </c>
      <c r="E116" s="305">
        <v>1.3</v>
      </c>
      <c r="F116" s="300">
        <v>20674422.289999999</v>
      </c>
      <c r="G116" s="301">
        <v>2279423.0699999998</v>
      </c>
      <c r="H116" s="301">
        <v>3938244.85</v>
      </c>
      <c r="I116" s="301">
        <v>425855.3</v>
      </c>
      <c r="J116" s="301">
        <v>41457.800000000003</v>
      </c>
      <c r="K116" s="301">
        <v>133991.26999999999</v>
      </c>
      <c r="L116" s="301">
        <v>-412325.2</v>
      </c>
      <c r="M116" s="301">
        <v>-37079</v>
      </c>
      <c r="N116" s="302">
        <f t="shared" si="2"/>
        <v>430820.65868802625</v>
      </c>
      <c r="O116" s="301">
        <v>3250037.55</v>
      </c>
      <c r="P116" s="301">
        <v>1356058.65</v>
      </c>
      <c r="Q116" s="301">
        <v>733186.4</v>
      </c>
      <c r="R116" s="301">
        <v>-6712.2</v>
      </c>
      <c r="S116" s="301">
        <v>2442509.2999999998</v>
      </c>
      <c r="T116" s="301">
        <v>1324232.3</v>
      </c>
      <c r="U116" s="301">
        <v>1007328.6</v>
      </c>
      <c r="V116" s="301">
        <v>1500022</v>
      </c>
      <c r="W116" s="302">
        <f t="shared" si="3"/>
        <v>39081473.638688028</v>
      </c>
      <c r="X116" s="301">
        <v>219</v>
      </c>
      <c r="Y116" s="301">
        <v>0</v>
      </c>
      <c r="Z116" s="303">
        <v>9.4E-2</v>
      </c>
      <c r="AA116" s="301">
        <v>1305</v>
      </c>
      <c r="AB116" s="301">
        <v>21</v>
      </c>
      <c r="AC116" s="301">
        <v>4357040.1012730738</v>
      </c>
      <c r="AD116" s="301">
        <v>-699150.66872692527</v>
      </c>
      <c r="AE116" s="301">
        <v>1</v>
      </c>
    </row>
    <row r="117" spans="1:31" x14ac:dyDescent="0.25">
      <c r="A117" s="148">
        <v>5590</v>
      </c>
      <c r="B117" s="293" t="s">
        <v>209</v>
      </c>
      <c r="C117" s="301">
        <v>19545</v>
      </c>
      <c r="D117" s="304">
        <v>61</v>
      </c>
      <c r="E117" s="305">
        <v>0.7</v>
      </c>
      <c r="F117" s="300">
        <v>61920604.420000002</v>
      </c>
      <c r="G117" s="301">
        <v>17581907.670000002</v>
      </c>
      <c r="H117" s="301">
        <v>10444043.199999999</v>
      </c>
      <c r="I117" s="301">
        <v>1308273.6499999999</v>
      </c>
      <c r="J117" s="301">
        <v>2795829.37</v>
      </c>
      <c r="K117" s="301">
        <v>80856.44</v>
      </c>
      <c r="L117" s="301">
        <v>-524514.77</v>
      </c>
      <c r="M117" s="301">
        <v>-9382</v>
      </c>
      <c r="N117" s="302">
        <f t="shared" si="2"/>
        <v>1160179.8108201961</v>
      </c>
      <c r="O117" s="301">
        <v>4082169.45</v>
      </c>
      <c r="P117" s="301">
        <v>1217497.53</v>
      </c>
      <c r="Q117" s="301">
        <v>507624.85</v>
      </c>
      <c r="R117" s="301">
        <v>-418804.27</v>
      </c>
      <c r="S117" s="301">
        <v>3492581.6</v>
      </c>
      <c r="T117" s="301">
        <v>8023657.0999999996</v>
      </c>
      <c r="U117" s="301">
        <v>2955823.95</v>
      </c>
      <c r="V117" s="301">
        <v>214274.9</v>
      </c>
      <c r="W117" s="302">
        <f t="shared" si="3"/>
        <v>114832622.90082021</v>
      </c>
      <c r="X117" s="301">
        <v>589</v>
      </c>
      <c r="Y117" s="301">
        <v>44</v>
      </c>
      <c r="Z117" s="303">
        <v>0.193</v>
      </c>
      <c r="AA117" s="301">
        <v>1853</v>
      </c>
      <c r="AB117" s="301">
        <v>51</v>
      </c>
      <c r="AC117" s="301">
        <v>10661060</v>
      </c>
      <c r="AD117" s="301">
        <v>-1652483.7400000002</v>
      </c>
      <c r="AE117" s="301">
        <v>1</v>
      </c>
    </row>
    <row r="118" spans="1:31" x14ac:dyDescent="0.25">
      <c r="A118" s="148">
        <v>5591</v>
      </c>
      <c r="B118" s="293" t="s">
        <v>210</v>
      </c>
      <c r="C118" s="301">
        <v>21568</v>
      </c>
      <c r="D118" s="304">
        <v>77</v>
      </c>
      <c r="E118" s="305">
        <v>1.4</v>
      </c>
      <c r="F118" s="300">
        <v>29062449.09</v>
      </c>
      <c r="G118" s="301">
        <v>3021690.54</v>
      </c>
      <c r="H118" s="301">
        <v>8038078.8499999996</v>
      </c>
      <c r="I118" s="301">
        <v>603882.65</v>
      </c>
      <c r="J118" s="301"/>
      <c r="K118" s="301">
        <v>801053.57</v>
      </c>
      <c r="L118" s="301">
        <v>-1748786.41</v>
      </c>
      <c r="M118" s="301">
        <v>-36817.279999999999</v>
      </c>
      <c r="N118" s="302">
        <f t="shared" si="2"/>
        <v>853127.88841167244</v>
      </c>
      <c r="O118" s="301">
        <v>5911385.6500000004</v>
      </c>
      <c r="P118" s="301">
        <v>2691592.72</v>
      </c>
      <c r="Q118" s="301">
        <v>778327.8</v>
      </c>
      <c r="R118" s="301">
        <v>-12462.05</v>
      </c>
      <c r="S118" s="301">
        <v>2011327.45</v>
      </c>
      <c r="T118" s="301">
        <v>705377.6</v>
      </c>
      <c r="U118" s="301">
        <v>742784.25</v>
      </c>
      <c r="V118" s="301">
        <v>3356012.3</v>
      </c>
      <c r="W118" s="302">
        <f t="shared" si="3"/>
        <v>56779024.618411668</v>
      </c>
      <c r="X118" s="301">
        <v>295</v>
      </c>
      <c r="Y118" s="301">
        <v>0</v>
      </c>
      <c r="Z118" s="303">
        <v>6.2E-2</v>
      </c>
      <c r="AA118" s="301">
        <v>2290</v>
      </c>
      <c r="AB118" s="301">
        <v>25</v>
      </c>
      <c r="AC118" s="301">
        <v>9719007.9282848164</v>
      </c>
      <c r="AD118" s="301">
        <v>-1477289.0317151845</v>
      </c>
      <c r="AE118" s="301">
        <v>1</v>
      </c>
    </row>
    <row r="119" spans="1:31" x14ac:dyDescent="0.25">
      <c r="A119" s="148">
        <v>5592</v>
      </c>
      <c r="B119" s="293" t="s">
        <v>211</v>
      </c>
      <c r="C119" s="301">
        <v>4325</v>
      </c>
      <c r="D119" s="304">
        <v>70.5</v>
      </c>
      <c r="E119" s="305">
        <v>1.25</v>
      </c>
      <c r="F119" s="300">
        <v>7295330.8499999996</v>
      </c>
      <c r="G119" s="301">
        <v>942381.27</v>
      </c>
      <c r="H119" s="301">
        <v>635158.15</v>
      </c>
      <c r="I119" s="301">
        <v>68643.8</v>
      </c>
      <c r="J119" s="301"/>
      <c r="K119" s="301">
        <v>42061.35</v>
      </c>
      <c r="L119" s="301">
        <v>-126964.29</v>
      </c>
      <c r="M119" s="301">
        <v>-6262.66</v>
      </c>
      <c r="N119" s="302">
        <f t="shared" si="2"/>
        <v>69478.795000824466</v>
      </c>
      <c r="O119" s="301">
        <v>1108655.6499999999</v>
      </c>
      <c r="P119" s="301">
        <v>361464.79</v>
      </c>
      <c r="Q119" s="301">
        <v>187600.3</v>
      </c>
      <c r="R119" s="301">
        <v>-7075.24</v>
      </c>
      <c r="S119" s="301">
        <v>979823</v>
      </c>
      <c r="T119" s="301">
        <v>4877.7</v>
      </c>
      <c r="U119" s="301">
        <v>254078.9</v>
      </c>
      <c r="V119" s="301">
        <v>474069.5</v>
      </c>
      <c r="W119" s="302">
        <f t="shared" si="3"/>
        <v>12283321.865000825</v>
      </c>
      <c r="X119" s="301">
        <v>290</v>
      </c>
      <c r="Y119" s="301">
        <v>0</v>
      </c>
      <c r="Z119" s="303">
        <v>3.4000000000000002E-2</v>
      </c>
      <c r="AA119" s="301">
        <v>461</v>
      </c>
      <c r="AB119" s="301">
        <v>201</v>
      </c>
      <c r="AC119" s="301">
        <v>0</v>
      </c>
      <c r="AD119" s="301">
        <v>0</v>
      </c>
      <c r="AE119" s="301">
        <v>0</v>
      </c>
    </row>
    <row r="120" spans="1:31" x14ac:dyDescent="0.25">
      <c r="A120" s="148">
        <v>5601</v>
      </c>
      <c r="B120" s="293" t="s">
        <v>212</v>
      </c>
      <c r="C120" s="301">
        <v>2263</v>
      </c>
      <c r="D120" s="304">
        <v>67.5</v>
      </c>
      <c r="E120" s="305">
        <v>1</v>
      </c>
      <c r="F120" s="300">
        <v>5660873.5599999996</v>
      </c>
      <c r="G120" s="301">
        <v>1066789.3</v>
      </c>
      <c r="H120" s="301">
        <v>94215.75</v>
      </c>
      <c r="I120" s="301">
        <v>17065.900000000001</v>
      </c>
      <c r="J120" s="301"/>
      <c r="K120" s="301">
        <v>5544.05</v>
      </c>
      <c r="L120" s="301">
        <v>-34012.589999999997</v>
      </c>
      <c r="M120" s="301">
        <v>-650</v>
      </c>
      <c r="N120" s="302">
        <f t="shared" si="2"/>
        <v>10985.640133141855</v>
      </c>
      <c r="O120" s="301">
        <v>531118.25</v>
      </c>
      <c r="P120" s="301">
        <v>160341.42000000001</v>
      </c>
      <c r="Q120" s="301">
        <v>-11550.65</v>
      </c>
      <c r="R120" s="301">
        <v>-8264.7800000000007</v>
      </c>
      <c r="S120" s="301">
        <v>383839.4</v>
      </c>
      <c r="T120" s="452">
        <f>783330.3-600000</f>
        <v>183330.30000000005</v>
      </c>
      <c r="U120" s="301">
        <v>337287.75</v>
      </c>
      <c r="V120" s="301">
        <v>68693.5</v>
      </c>
      <c r="W120" s="302">
        <f t="shared" si="3"/>
        <v>8465606.8001331408</v>
      </c>
      <c r="X120" s="301">
        <v>218</v>
      </c>
      <c r="Y120" s="301">
        <v>0</v>
      </c>
      <c r="Z120" s="303">
        <v>0.216</v>
      </c>
      <c r="AA120" s="301">
        <v>232</v>
      </c>
      <c r="AB120" s="301">
        <v>13</v>
      </c>
      <c r="AC120" s="301">
        <v>0</v>
      </c>
      <c r="AD120" s="301">
        <v>0</v>
      </c>
      <c r="AE120" s="301">
        <v>1</v>
      </c>
    </row>
    <row r="121" spans="1:31" x14ac:dyDescent="0.25">
      <c r="A121" s="148">
        <v>5604</v>
      </c>
      <c r="B121" s="293" t="s">
        <v>213</v>
      </c>
      <c r="C121" s="301">
        <v>2088</v>
      </c>
      <c r="D121" s="304">
        <v>69</v>
      </c>
      <c r="E121" s="305">
        <v>1</v>
      </c>
      <c r="F121" s="300">
        <v>3566678.85</v>
      </c>
      <c r="G121" s="301">
        <v>688077.38</v>
      </c>
      <c r="H121" s="301">
        <v>270647.40000000002</v>
      </c>
      <c r="I121" s="301">
        <v>11126.6</v>
      </c>
      <c r="J121" s="301"/>
      <c r="K121" s="301">
        <v>56302.93</v>
      </c>
      <c r="L121" s="301">
        <v>-53283.07</v>
      </c>
      <c r="M121" s="301">
        <v>-1416.66</v>
      </c>
      <c r="N121" s="302">
        <f t="shared" si="2"/>
        <v>27816.51568678136</v>
      </c>
      <c r="O121" s="301">
        <v>443449.59999999998</v>
      </c>
      <c r="P121" s="301">
        <v>75494.09</v>
      </c>
      <c r="Q121" s="301">
        <v>33170.15</v>
      </c>
      <c r="R121" s="301">
        <v>-6296.83</v>
      </c>
      <c r="S121" s="301">
        <v>206732.85</v>
      </c>
      <c r="T121" s="301">
        <v>14392.4</v>
      </c>
      <c r="U121" s="301">
        <v>117453.2</v>
      </c>
      <c r="V121" s="301">
        <v>146412.75</v>
      </c>
      <c r="W121" s="302">
        <f t="shared" si="3"/>
        <v>5596758.1556867808</v>
      </c>
      <c r="X121" s="301">
        <v>1845</v>
      </c>
      <c r="Y121" s="301">
        <v>786</v>
      </c>
      <c r="Z121" s="303">
        <v>6.5000000000000002E-2</v>
      </c>
      <c r="AA121" s="301">
        <v>260</v>
      </c>
      <c r="AB121" s="301">
        <v>151</v>
      </c>
      <c r="AC121" s="301">
        <v>0</v>
      </c>
      <c r="AD121" s="301">
        <v>0</v>
      </c>
      <c r="AE121" s="301">
        <v>0</v>
      </c>
    </row>
    <row r="122" spans="1:31" x14ac:dyDescent="0.25">
      <c r="A122" s="148">
        <v>5606</v>
      </c>
      <c r="B122" s="293" t="s">
        <v>214</v>
      </c>
      <c r="C122" s="301">
        <v>10750</v>
      </c>
      <c r="D122" s="304">
        <v>54</v>
      </c>
      <c r="E122" s="305">
        <v>0.7</v>
      </c>
      <c r="F122" s="300">
        <v>32919997.379999999</v>
      </c>
      <c r="G122" s="301">
        <v>9341242.8699999992</v>
      </c>
      <c r="H122" s="301">
        <v>1314401.3500000001</v>
      </c>
      <c r="I122" s="301">
        <v>2589866.2999999998</v>
      </c>
      <c r="J122" s="301">
        <v>1436146.26</v>
      </c>
      <c r="K122" s="301">
        <v>123575.82</v>
      </c>
      <c r="L122" s="301">
        <v>-414761.94</v>
      </c>
      <c r="M122" s="301">
        <v>-2084</v>
      </c>
      <c r="N122" s="302">
        <f t="shared" si="2"/>
        <v>385426.34285497596</v>
      </c>
      <c r="O122" s="301">
        <v>2535474.65</v>
      </c>
      <c r="P122" s="301">
        <v>981714.27</v>
      </c>
      <c r="Q122" s="301">
        <v>218366.5</v>
      </c>
      <c r="R122" s="301">
        <v>-287189.69</v>
      </c>
      <c r="S122" s="301">
        <v>2351516.65</v>
      </c>
      <c r="T122" s="301">
        <v>2701235.1</v>
      </c>
      <c r="U122" s="301">
        <v>2867934.8</v>
      </c>
      <c r="V122" s="301">
        <v>103658.9</v>
      </c>
      <c r="W122" s="302">
        <f t="shared" si="3"/>
        <v>59166521.562854975</v>
      </c>
      <c r="X122" s="301">
        <v>838</v>
      </c>
      <c r="Y122" s="301">
        <v>75</v>
      </c>
      <c r="Z122" s="303">
        <v>0.16200000000000001</v>
      </c>
      <c r="AA122" s="301">
        <v>1015</v>
      </c>
      <c r="AB122" s="301">
        <v>180</v>
      </c>
      <c r="AC122" s="301">
        <v>4615125</v>
      </c>
      <c r="AD122" s="301">
        <v>-739875.14999999991</v>
      </c>
      <c r="AE122" s="301">
        <v>1</v>
      </c>
    </row>
    <row r="123" spans="1:31" x14ac:dyDescent="0.25">
      <c r="A123" s="148">
        <v>5607</v>
      </c>
      <c r="B123" s="293" t="s">
        <v>215</v>
      </c>
      <c r="C123" s="301">
        <v>2976</v>
      </c>
      <c r="D123" s="304">
        <v>68.5</v>
      </c>
      <c r="E123" s="305">
        <v>1.1499999999999999</v>
      </c>
      <c r="F123" s="300">
        <v>5497339.0199999996</v>
      </c>
      <c r="G123" s="301">
        <v>974887.98</v>
      </c>
      <c r="H123" s="301">
        <v>1449361.5</v>
      </c>
      <c r="I123" s="301">
        <v>264796.65000000002</v>
      </c>
      <c r="J123" s="301">
        <v>11.45</v>
      </c>
      <c r="K123" s="301">
        <v>4373.21</v>
      </c>
      <c r="L123" s="301">
        <v>-80267.149999999994</v>
      </c>
      <c r="M123" s="301">
        <v>-3883</v>
      </c>
      <c r="N123" s="302">
        <f t="shared" si="2"/>
        <v>169220.39318425092</v>
      </c>
      <c r="O123" s="301">
        <v>964677.05</v>
      </c>
      <c r="P123" s="301">
        <v>138733.53</v>
      </c>
      <c r="Q123" s="301">
        <v>119426.25</v>
      </c>
      <c r="R123" s="301">
        <v>-4302.43</v>
      </c>
      <c r="S123" s="301">
        <v>195058.35</v>
      </c>
      <c r="T123" s="301">
        <v>28567.3</v>
      </c>
      <c r="U123" s="301">
        <v>163170.20000000001</v>
      </c>
      <c r="V123" s="301">
        <v>235969.2</v>
      </c>
      <c r="W123" s="302">
        <f t="shared" si="3"/>
        <v>10117139.50318425</v>
      </c>
      <c r="X123" s="301">
        <v>2223</v>
      </c>
      <c r="Y123" s="301">
        <v>129</v>
      </c>
      <c r="Z123" s="303">
        <v>0.17299999999999999</v>
      </c>
      <c r="AA123" s="301">
        <v>334</v>
      </c>
      <c r="AB123" s="301">
        <v>99</v>
      </c>
      <c r="AC123" s="301">
        <v>0</v>
      </c>
      <c r="AD123" s="301">
        <v>0</v>
      </c>
      <c r="AE123" s="301">
        <v>1</v>
      </c>
    </row>
    <row r="124" spans="1:31" x14ac:dyDescent="0.25">
      <c r="A124" s="148">
        <v>5609</v>
      </c>
      <c r="B124" s="293" t="s">
        <v>216</v>
      </c>
      <c r="C124" s="301">
        <v>329</v>
      </c>
      <c r="D124" s="304">
        <v>62</v>
      </c>
      <c r="E124" s="305">
        <v>1</v>
      </c>
      <c r="F124" s="300">
        <v>698488.63</v>
      </c>
      <c r="G124" s="301">
        <v>158017.29999999999</v>
      </c>
      <c r="H124" s="301">
        <v>17619.75</v>
      </c>
      <c r="I124" s="301">
        <v>724.6</v>
      </c>
      <c r="J124" s="301"/>
      <c r="K124" s="301"/>
      <c r="L124" s="301">
        <v>-1316.48</v>
      </c>
      <c r="M124" s="301">
        <v>-50</v>
      </c>
      <c r="N124" s="302">
        <f t="shared" si="2"/>
        <v>1810.9403264275895</v>
      </c>
      <c r="O124" s="301">
        <v>64939.3</v>
      </c>
      <c r="P124" s="301">
        <v>26750.71</v>
      </c>
      <c r="Q124" s="301">
        <v>1050.4000000000001</v>
      </c>
      <c r="R124" s="301">
        <v>-428.86</v>
      </c>
      <c r="S124" s="301">
        <v>76825.899999999994</v>
      </c>
      <c r="T124" s="301"/>
      <c r="U124" s="301">
        <v>39861.449999999997</v>
      </c>
      <c r="V124" s="301">
        <v>0</v>
      </c>
      <c r="W124" s="302">
        <f t="shared" si="3"/>
        <v>1084293.6403264275</v>
      </c>
      <c r="X124" s="301">
        <v>29</v>
      </c>
      <c r="Y124" s="301">
        <v>0</v>
      </c>
      <c r="Z124" s="303">
        <v>0.309</v>
      </c>
      <c r="AA124" s="301">
        <v>24</v>
      </c>
      <c r="AB124" s="301">
        <v>6</v>
      </c>
      <c r="AC124" s="301">
        <v>0</v>
      </c>
      <c r="AD124" s="301">
        <v>0</v>
      </c>
      <c r="AE124" s="301">
        <v>1</v>
      </c>
    </row>
    <row r="125" spans="1:31" x14ac:dyDescent="0.25">
      <c r="A125" s="148">
        <v>5610</v>
      </c>
      <c r="B125" s="293" t="s">
        <v>217</v>
      </c>
      <c r="C125" s="301">
        <v>389</v>
      </c>
      <c r="D125" s="304">
        <v>74</v>
      </c>
      <c r="E125" s="305">
        <v>1.2</v>
      </c>
      <c r="F125" s="300">
        <v>1082409.18</v>
      </c>
      <c r="G125" s="301">
        <v>101834.34</v>
      </c>
      <c r="H125" s="301">
        <v>16012.25</v>
      </c>
      <c r="I125" s="301">
        <v>3752.8</v>
      </c>
      <c r="J125" s="301">
        <v>719.45</v>
      </c>
      <c r="K125" s="301">
        <v>1127.55</v>
      </c>
      <c r="L125" s="301">
        <v>-7667.65</v>
      </c>
      <c r="M125" s="301">
        <v>-1950</v>
      </c>
      <c r="N125" s="302">
        <f t="shared" si="2"/>
        <v>1951.1907534939985</v>
      </c>
      <c r="O125" s="301">
        <v>131464.35</v>
      </c>
      <c r="P125" s="301">
        <v>-5028.79</v>
      </c>
      <c r="Q125" s="301">
        <v>6811.15</v>
      </c>
      <c r="R125" s="301">
        <v>-2327.38</v>
      </c>
      <c r="S125" s="301">
        <v>38672.449999999997</v>
      </c>
      <c r="T125" s="301">
        <v>21410.799999999999</v>
      </c>
      <c r="U125" s="301">
        <v>6135.1</v>
      </c>
      <c r="V125" s="301">
        <v>0</v>
      </c>
      <c r="W125" s="302">
        <f t="shared" si="3"/>
        <v>1395326.7907534942</v>
      </c>
      <c r="X125" s="301">
        <v>87</v>
      </c>
      <c r="Y125" s="301">
        <v>0</v>
      </c>
      <c r="Z125" s="303">
        <v>0.41799999999999998</v>
      </c>
      <c r="AA125" s="301">
        <v>28</v>
      </c>
      <c r="AB125" s="301">
        <v>14</v>
      </c>
      <c r="AC125" s="301">
        <v>0</v>
      </c>
      <c r="AD125" s="301">
        <v>0</v>
      </c>
      <c r="AE125" s="301">
        <v>1</v>
      </c>
    </row>
    <row r="126" spans="1:31" x14ac:dyDescent="0.25">
      <c r="A126" s="148">
        <v>5611</v>
      </c>
      <c r="B126" s="293" t="s">
        <v>218</v>
      </c>
      <c r="C126" s="301">
        <v>3506</v>
      </c>
      <c r="D126" s="304">
        <v>69</v>
      </c>
      <c r="E126" s="305">
        <v>1.2</v>
      </c>
      <c r="F126" s="300">
        <v>7811113.75</v>
      </c>
      <c r="G126" s="301">
        <v>1725000.86</v>
      </c>
      <c r="H126" s="301">
        <v>257500.15</v>
      </c>
      <c r="I126" s="301">
        <v>49548.2</v>
      </c>
      <c r="J126" s="301">
        <v>123283.4</v>
      </c>
      <c r="K126" s="301">
        <v>28219.57</v>
      </c>
      <c r="L126" s="301">
        <v>-104215.56</v>
      </c>
      <c r="M126" s="301">
        <v>-3717</v>
      </c>
      <c r="N126" s="302">
        <f t="shared" si="2"/>
        <v>30311.580360059244</v>
      </c>
      <c r="O126" s="301">
        <v>890042.2</v>
      </c>
      <c r="P126" s="301">
        <v>175740.15</v>
      </c>
      <c r="Q126" s="301">
        <v>28953.5</v>
      </c>
      <c r="R126" s="301">
        <v>-13036.15</v>
      </c>
      <c r="S126" s="301">
        <v>564776.25</v>
      </c>
      <c r="T126" s="301">
        <v>415378.3</v>
      </c>
      <c r="U126" s="301">
        <v>387356.1</v>
      </c>
      <c r="V126" s="301">
        <v>157458</v>
      </c>
      <c r="W126" s="302">
        <f t="shared" si="3"/>
        <v>12523713.300360058</v>
      </c>
      <c r="X126" s="301">
        <v>1607</v>
      </c>
      <c r="Y126" s="301">
        <v>3500</v>
      </c>
      <c r="Z126" s="303">
        <v>6.0999999999999999E-2</v>
      </c>
      <c r="AA126" s="301">
        <v>413</v>
      </c>
      <c r="AB126" s="301">
        <v>270</v>
      </c>
      <c r="AC126" s="301">
        <v>0</v>
      </c>
      <c r="AD126" s="301">
        <v>0</v>
      </c>
      <c r="AE126" s="301">
        <v>1</v>
      </c>
    </row>
    <row r="127" spans="1:31" x14ac:dyDescent="0.25">
      <c r="A127" s="148">
        <v>5613</v>
      </c>
      <c r="B127" s="293" t="s">
        <v>219</v>
      </c>
      <c r="C127" s="301">
        <v>5465</v>
      </c>
      <c r="D127" s="304">
        <v>62.5</v>
      </c>
      <c r="E127" s="305">
        <v>1.5</v>
      </c>
      <c r="F127" s="300">
        <v>16013799.77</v>
      </c>
      <c r="G127" s="301">
        <v>4069813.77</v>
      </c>
      <c r="H127" s="301">
        <v>240585.1</v>
      </c>
      <c r="I127" s="301">
        <v>53926.35</v>
      </c>
      <c r="J127" s="301">
        <v>199848.82</v>
      </c>
      <c r="K127" s="301">
        <v>27445.13</v>
      </c>
      <c r="L127" s="301">
        <v>-120252.91</v>
      </c>
      <c r="M127" s="301">
        <v>-4000</v>
      </c>
      <c r="N127" s="302">
        <f t="shared" si="2"/>
        <v>29073.947095408821</v>
      </c>
      <c r="O127" s="301">
        <v>2523743.75</v>
      </c>
      <c r="P127" s="301">
        <v>479887.92</v>
      </c>
      <c r="Q127" s="301">
        <v>41653.949999999997</v>
      </c>
      <c r="R127" s="301">
        <v>-75604.800000000003</v>
      </c>
      <c r="S127" s="301">
        <v>1093889.5</v>
      </c>
      <c r="T127" s="301">
        <v>438905.3</v>
      </c>
      <c r="U127" s="301">
        <v>1157436.8999999999</v>
      </c>
      <c r="V127" s="301">
        <v>49424.6</v>
      </c>
      <c r="W127" s="302">
        <f t="shared" si="3"/>
        <v>26219577.097095411</v>
      </c>
      <c r="X127" s="301">
        <v>961</v>
      </c>
      <c r="Y127" s="301">
        <v>185</v>
      </c>
      <c r="Z127" s="303">
        <v>0.27900000000000003</v>
      </c>
      <c r="AA127" s="301">
        <v>499</v>
      </c>
      <c r="AB127" s="301">
        <v>171</v>
      </c>
      <c r="AC127" s="301">
        <v>0</v>
      </c>
      <c r="AD127" s="301">
        <v>0</v>
      </c>
      <c r="AE127" s="301">
        <v>1</v>
      </c>
    </row>
    <row r="128" spans="1:31" x14ac:dyDescent="0.25">
      <c r="A128" s="148">
        <v>5621</v>
      </c>
      <c r="B128" s="293" t="s">
        <v>220</v>
      </c>
      <c r="C128" s="301">
        <v>587</v>
      </c>
      <c r="D128" s="304">
        <v>60</v>
      </c>
      <c r="E128" s="305">
        <v>1.1000000000000001</v>
      </c>
      <c r="F128" s="300">
        <v>1201953.3500000001</v>
      </c>
      <c r="G128" s="301">
        <v>130176.71</v>
      </c>
      <c r="H128" s="301">
        <v>136614.1</v>
      </c>
      <c r="I128" s="301">
        <v>6938.2</v>
      </c>
      <c r="J128" s="301"/>
      <c r="K128" s="301">
        <v>2979.81</v>
      </c>
      <c r="L128" s="301">
        <v>-9007.27</v>
      </c>
      <c r="M128" s="301">
        <v>0</v>
      </c>
      <c r="N128" s="302">
        <f t="shared" si="2"/>
        <v>14171.374239012628</v>
      </c>
      <c r="O128" s="301">
        <v>346048.25</v>
      </c>
      <c r="P128" s="301">
        <v>43709.41</v>
      </c>
      <c r="Q128" s="301">
        <v>34856.199999999997</v>
      </c>
      <c r="R128" s="301">
        <v>-196</v>
      </c>
      <c r="S128" s="301">
        <v>50132.65</v>
      </c>
      <c r="T128" s="301"/>
      <c r="U128" s="301">
        <v>98856.7</v>
      </c>
      <c r="V128" s="301">
        <v>422976.25</v>
      </c>
      <c r="W128" s="302">
        <f t="shared" si="3"/>
        <v>2480209.7342390125</v>
      </c>
      <c r="X128" s="301">
        <v>389</v>
      </c>
      <c r="Y128" s="301">
        <v>0</v>
      </c>
      <c r="Z128" s="303">
        <v>4.5999999999999999E-2</v>
      </c>
      <c r="AA128" s="301">
        <v>71</v>
      </c>
      <c r="AB128" s="301">
        <v>50</v>
      </c>
      <c r="AC128" s="301">
        <v>0</v>
      </c>
      <c r="AD128" s="301">
        <v>0</v>
      </c>
      <c r="AE128" s="301">
        <v>0</v>
      </c>
    </row>
    <row r="129" spans="1:31" x14ac:dyDescent="0.25">
      <c r="A129" s="148">
        <v>5622</v>
      </c>
      <c r="B129" s="293" t="s">
        <v>221</v>
      </c>
      <c r="C129" s="301">
        <v>615</v>
      </c>
      <c r="D129" s="304">
        <v>68</v>
      </c>
      <c r="E129" s="305">
        <v>1</v>
      </c>
      <c r="F129" s="300">
        <v>1478842.63</v>
      </c>
      <c r="G129" s="301">
        <v>305289.31</v>
      </c>
      <c r="H129" s="301">
        <v>56632.4</v>
      </c>
      <c r="I129" s="301">
        <v>1151.5</v>
      </c>
      <c r="J129" s="301"/>
      <c r="K129" s="301">
        <v>1641.12</v>
      </c>
      <c r="L129" s="301">
        <v>-23728.23</v>
      </c>
      <c r="M129" s="301">
        <v>-200</v>
      </c>
      <c r="N129" s="302">
        <f t="shared" si="2"/>
        <v>5704.3828060552269</v>
      </c>
      <c r="O129" s="301">
        <v>166780.5</v>
      </c>
      <c r="P129" s="301">
        <v>16852.740000000002</v>
      </c>
      <c r="Q129" s="301">
        <v>7305.7</v>
      </c>
      <c r="R129" s="301">
        <v>-456.3</v>
      </c>
      <c r="S129" s="301">
        <v>19752.45</v>
      </c>
      <c r="T129" s="301"/>
      <c r="U129" s="301">
        <v>16061.2</v>
      </c>
      <c r="V129" s="301">
        <v>38318.949999999997</v>
      </c>
      <c r="W129" s="302">
        <f t="shared" si="3"/>
        <v>2089948.352806055</v>
      </c>
      <c r="X129" s="301">
        <v>292</v>
      </c>
      <c r="Y129" s="301">
        <v>0</v>
      </c>
      <c r="Z129" s="303">
        <v>2.9000000000000001E-2</v>
      </c>
      <c r="AA129" s="301">
        <v>75</v>
      </c>
      <c r="AB129" s="301">
        <v>52</v>
      </c>
      <c r="AC129" s="301">
        <v>0</v>
      </c>
      <c r="AD129" s="301">
        <v>0</v>
      </c>
      <c r="AE129" s="301">
        <v>0</v>
      </c>
    </row>
    <row r="130" spans="1:31" x14ac:dyDescent="0.25">
      <c r="A130" s="148">
        <v>5623</v>
      </c>
      <c r="B130" s="293" t="s">
        <v>222</v>
      </c>
      <c r="C130" s="301">
        <v>686</v>
      </c>
      <c r="D130" s="304">
        <v>52</v>
      </c>
      <c r="E130" s="305">
        <v>1</v>
      </c>
      <c r="F130" s="300">
        <v>2834579.17</v>
      </c>
      <c r="G130" s="301">
        <v>1602381.47</v>
      </c>
      <c r="H130" s="301">
        <v>67580</v>
      </c>
      <c r="I130" s="301">
        <v>248347.9</v>
      </c>
      <c r="J130" s="301">
        <v>207170.32</v>
      </c>
      <c r="K130" s="301">
        <v>2792.39</v>
      </c>
      <c r="L130" s="301">
        <v>-5317.97</v>
      </c>
      <c r="M130" s="301">
        <v>-1350</v>
      </c>
      <c r="N130" s="302">
        <f t="shared" si="2"/>
        <v>31188.162805091648</v>
      </c>
      <c r="O130" s="301">
        <v>385973.2</v>
      </c>
      <c r="P130" s="301">
        <v>72589.149999999994</v>
      </c>
      <c r="Q130" s="301">
        <v>3516.8</v>
      </c>
      <c r="R130" s="301">
        <v>-113557.63</v>
      </c>
      <c r="S130" s="301">
        <v>247775</v>
      </c>
      <c r="T130" s="301">
        <v>4546.8</v>
      </c>
      <c r="U130" s="301">
        <v>810358.3</v>
      </c>
      <c r="V130" s="301">
        <v>10824.9</v>
      </c>
      <c r="W130" s="302">
        <f t="shared" si="3"/>
        <v>6409397.9628050923</v>
      </c>
      <c r="X130" s="301">
        <v>211</v>
      </c>
      <c r="Y130" s="301">
        <v>0</v>
      </c>
      <c r="Z130" s="303">
        <v>3.9E-2</v>
      </c>
      <c r="AA130" s="301">
        <v>62</v>
      </c>
      <c r="AB130" s="301">
        <v>26</v>
      </c>
      <c r="AC130" s="301">
        <v>0</v>
      </c>
      <c r="AD130" s="301">
        <v>0</v>
      </c>
      <c r="AE130" s="301">
        <v>1</v>
      </c>
    </row>
    <row r="131" spans="1:31" x14ac:dyDescent="0.25">
      <c r="A131" s="148">
        <v>5624</v>
      </c>
      <c r="B131" s="293" t="s">
        <v>223</v>
      </c>
      <c r="C131" s="301">
        <v>11667</v>
      </c>
      <c r="D131" s="304">
        <v>62.5</v>
      </c>
      <c r="E131" s="305">
        <v>1.25</v>
      </c>
      <c r="F131" s="453">
        <f>20235231.64-3000000</f>
        <v>17235231.640000001</v>
      </c>
      <c r="G131" s="301">
        <v>1653186.1</v>
      </c>
      <c r="H131" s="301">
        <v>1493741.45</v>
      </c>
      <c r="I131" s="301">
        <v>333458.2</v>
      </c>
      <c r="J131" s="301"/>
      <c r="K131" s="301">
        <v>53208.01</v>
      </c>
      <c r="L131" s="301">
        <v>-262739.84999999998</v>
      </c>
      <c r="M131" s="301">
        <v>-150</v>
      </c>
      <c r="N131" s="302">
        <f t="shared" si="2"/>
        <v>180379.7643753732</v>
      </c>
      <c r="O131" s="301">
        <v>3432958.4</v>
      </c>
      <c r="P131" s="301">
        <v>1135485.5900000001</v>
      </c>
      <c r="Q131" s="301">
        <v>605438.1</v>
      </c>
      <c r="R131" s="301">
        <v>-4070.71</v>
      </c>
      <c r="S131" s="301">
        <v>1026139.85</v>
      </c>
      <c r="T131" s="301">
        <v>118238.5</v>
      </c>
      <c r="U131" s="301">
        <v>384278.7</v>
      </c>
      <c r="V131" s="301">
        <v>1643421.65</v>
      </c>
      <c r="W131" s="302">
        <f t="shared" si="3"/>
        <v>29028205.394375373</v>
      </c>
      <c r="X131" s="301">
        <v>474</v>
      </c>
      <c r="Y131" s="301">
        <v>0</v>
      </c>
      <c r="Z131" s="303">
        <v>5.8000000000000003E-2</v>
      </c>
      <c r="AA131" s="301">
        <v>1421</v>
      </c>
      <c r="AB131" s="301">
        <v>49</v>
      </c>
      <c r="AC131" s="301">
        <v>3516280.0475454358</v>
      </c>
      <c r="AD131" s="301">
        <v>-534943.8124545638</v>
      </c>
      <c r="AE131" s="301">
        <v>1</v>
      </c>
    </row>
    <row r="132" spans="1:31" x14ac:dyDescent="0.25">
      <c r="A132" s="148">
        <v>5627</v>
      </c>
      <c r="B132" s="293" t="s">
        <v>224</v>
      </c>
      <c r="C132" s="301">
        <v>9771</v>
      </c>
      <c r="D132" s="304">
        <v>77.5</v>
      </c>
      <c r="E132" s="305">
        <v>1.5</v>
      </c>
      <c r="F132" s="300">
        <v>11271299.390000001</v>
      </c>
      <c r="G132" s="301">
        <v>561395.35</v>
      </c>
      <c r="H132" s="301">
        <v>771055.3</v>
      </c>
      <c r="I132" s="301">
        <v>183609.35</v>
      </c>
      <c r="J132" s="301"/>
      <c r="K132" s="301">
        <v>63855.55</v>
      </c>
      <c r="L132" s="301">
        <v>-328321.56</v>
      </c>
      <c r="M132" s="301">
        <v>-6750.66</v>
      </c>
      <c r="N132" s="302">
        <f t="shared" si="2"/>
        <v>94243.770583306614</v>
      </c>
      <c r="O132" s="301">
        <v>2233677.5499999998</v>
      </c>
      <c r="P132" s="301">
        <v>1165212.99</v>
      </c>
      <c r="Q132" s="301">
        <v>391516.85</v>
      </c>
      <c r="R132" s="301">
        <v>-2828.74</v>
      </c>
      <c r="S132" s="301">
        <v>1253033.5</v>
      </c>
      <c r="T132" s="301">
        <v>384137.7</v>
      </c>
      <c r="U132" s="301">
        <v>216557.8</v>
      </c>
      <c r="V132" s="301">
        <v>420840.9</v>
      </c>
      <c r="W132" s="302">
        <f t="shared" si="3"/>
        <v>18672535.040583305</v>
      </c>
      <c r="X132" s="301">
        <v>165</v>
      </c>
      <c r="Y132" s="301">
        <v>0</v>
      </c>
      <c r="Z132" s="303">
        <v>7.3999999999999996E-2</v>
      </c>
      <c r="AA132" s="301">
        <v>1028</v>
      </c>
      <c r="AB132" s="301">
        <v>19</v>
      </c>
      <c r="AC132" s="301">
        <v>3106550</v>
      </c>
      <c r="AD132" s="301">
        <v>-439661.95000000019</v>
      </c>
      <c r="AE132" s="301">
        <v>1</v>
      </c>
    </row>
    <row r="133" spans="1:31" x14ac:dyDescent="0.25">
      <c r="A133" s="148">
        <v>5628</v>
      </c>
      <c r="B133" s="293" t="s">
        <v>225</v>
      </c>
      <c r="C133" s="301">
        <v>420</v>
      </c>
      <c r="D133" s="304">
        <v>62</v>
      </c>
      <c r="E133" s="305">
        <v>1</v>
      </c>
      <c r="F133" s="300">
        <v>1811407.47</v>
      </c>
      <c r="G133" s="301">
        <v>0</v>
      </c>
      <c r="H133" s="301">
        <v>9123.1</v>
      </c>
      <c r="I133" s="301">
        <v>445.4</v>
      </c>
      <c r="J133" s="301"/>
      <c r="K133" s="301">
        <v>7680.2</v>
      </c>
      <c r="L133" s="301">
        <v>-4143.33</v>
      </c>
      <c r="M133" s="301">
        <v>0</v>
      </c>
      <c r="N133" s="302">
        <f t="shared" si="2"/>
        <v>944.59506678745186</v>
      </c>
      <c r="O133" s="301">
        <v>119180.9</v>
      </c>
      <c r="P133" s="301">
        <v>27022.27</v>
      </c>
      <c r="Q133" s="301">
        <v>1308</v>
      </c>
      <c r="R133" s="301">
        <v>-3452.15</v>
      </c>
      <c r="S133" s="301">
        <v>82830</v>
      </c>
      <c r="T133" s="301">
        <v>0</v>
      </c>
      <c r="U133" s="301">
        <v>145153.35</v>
      </c>
      <c r="V133" s="301">
        <v>160.94999999999999</v>
      </c>
      <c r="W133" s="302">
        <f t="shared" si="3"/>
        <v>2197660.7550667874</v>
      </c>
      <c r="X133" s="301">
        <v>86</v>
      </c>
      <c r="Y133" s="301">
        <v>0</v>
      </c>
      <c r="Z133" s="303">
        <v>5.5E-2</v>
      </c>
      <c r="AA133" s="301">
        <v>54</v>
      </c>
      <c r="AB133" s="301">
        <v>3</v>
      </c>
      <c r="AC133" s="301">
        <v>0</v>
      </c>
      <c r="AD133" s="301">
        <v>0</v>
      </c>
      <c r="AE133" s="301">
        <v>0</v>
      </c>
    </row>
    <row r="134" spans="1:31" x14ac:dyDescent="0.25">
      <c r="A134" s="148">
        <v>5629</v>
      </c>
      <c r="B134" s="293" t="s">
        <v>226</v>
      </c>
      <c r="C134" s="301">
        <v>228</v>
      </c>
      <c r="D134" s="304">
        <v>72</v>
      </c>
      <c r="E134" s="305">
        <v>1</v>
      </c>
      <c r="F134" s="300">
        <v>464816.51</v>
      </c>
      <c r="G134" s="301">
        <v>69527.03</v>
      </c>
      <c r="H134" s="301">
        <v>2714.15</v>
      </c>
      <c r="I134" s="301">
        <v>314.55</v>
      </c>
      <c r="J134" s="301"/>
      <c r="K134" s="301"/>
      <c r="L134" s="301">
        <v>-82.57</v>
      </c>
      <c r="M134" s="301">
        <v>-600</v>
      </c>
      <c r="N134" s="302">
        <f t="shared" si="2"/>
        <v>298.99096815374986</v>
      </c>
      <c r="O134" s="301">
        <v>39424</v>
      </c>
      <c r="P134" s="301">
        <v>619.55999999999995</v>
      </c>
      <c r="Q134" s="301">
        <v>537</v>
      </c>
      <c r="R134" s="301">
        <v>-101.75</v>
      </c>
      <c r="S134" s="301">
        <v>24640</v>
      </c>
      <c r="T134" s="301"/>
      <c r="U134" s="301">
        <v>15709.2</v>
      </c>
      <c r="V134" s="301">
        <v>0</v>
      </c>
      <c r="W134" s="302">
        <f t="shared" si="3"/>
        <v>617816.67096815386</v>
      </c>
      <c r="X134" s="301">
        <v>101</v>
      </c>
      <c r="Y134" s="301">
        <v>0</v>
      </c>
      <c r="Z134" s="303">
        <v>4.3999999999999997E-2</v>
      </c>
      <c r="AA134" s="301">
        <v>23</v>
      </c>
      <c r="AB134" s="301">
        <v>2</v>
      </c>
      <c r="AC134" s="301">
        <v>0</v>
      </c>
      <c r="AD134" s="301">
        <v>0</v>
      </c>
      <c r="AE134" s="301">
        <v>0</v>
      </c>
    </row>
    <row r="135" spans="1:31" x14ac:dyDescent="0.25">
      <c r="A135" s="148">
        <v>5631</v>
      </c>
      <c r="B135" s="293" t="s">
        <v>227</v>
      </c>
      <c r="C135" s="301">
        <v>742</v>
      </c>
      <c r="D135" s="304">
        <v>65</v>
      </c>
      <c r="E135" s="305">
        <v>1</v>
      </c>
      <c r="F135" s="300">
        <v>1968806.06</v>
      </c>
      <c r="G135" s="301">
        <v>501236.5</v>
      </c>
      <c r="H135" s="301">
        <v>3931.6</v>
      </c>
      <c r="I135" s="301">
        <v>2712.4</v>
      </c>
      <c r="J135" s="301">
        <v>295743.52</v>
      </c>
      <c r="K135" s="301"/>
      <c r="L135" s="301">
        <v>-7689.64</v>
      </c>
      <c r="M135" s="301">
        <v>-5800</v>
      </c>
      <c r="N135" s="302">
        <f t="shared" si="2"/>
        <v>655.89064364694889</v>
      </c>
      <c r="O135" s="301">
        <v>226259.95</v>
      </c>
      <c r="P135" s="301">
        <v>56394.86</v>
      </c>
      <c r="Q135" s="301">
        <v>2656.15</v>
      </c>
      <c r="R135" s="301">
        <v>-4956.12</v>
      </c>
      <c r="S135" s="301">
        <v>70785</v>
      </c>
      <c r="T135" s="301">
        <v>1518</v>
      </c>
      <c r="U135" s="301">
        <v>84563.25</v>
      </c>
      <c r="V135" s="301">
        <v>2264.9</v>
      </c>
      <c r="W135" s="302">
        <f t="shared" si="3"/>
        <v>3199082.3206436466</v>
      </c>
      <c r="X135" s="301">
        <v>329</v>
      </c>
      <c r="Y135" s="301">
        <v>0</v>
      </c>
      <c r="Z135" s="303">
        <v>4.0000000000000001E-3</v>
      </c>
      <c r="AA135" s="301">
        <v>76</v>
      </c>
      <c r="AB135" s="301">
        <v>54</v>
      </c>
      <c r="AC135" s="301">
        <v>0</v>
      </c>
      <c r="AD135" s="301">
        <v>0</v>
      </c>
      <c r="AE135" s="301">
        <v>0</v>
      </c>
    </row>
    <row r="136" spans="1:31" x14ac:dyDescent="0.25">
      <c r="A136" s="148">
        <v>5632</v>
      </c>
      <c r="B136" s="293" t="s">
        <v>228</v>
      </c>
      <c r="C136" s="301">
        <v>1837</v>
      </c>
      <c r="D136" s="304">
        <v>62</v>
      </c>
      <c r="E136" s="305">
        <v>1</v>
      </c>
      <c r="F136" s="300">
        <v>3776348.89</v>
      </c>
      <c r="G136" s="301">
        <v>617665.65</v>
      </c>
      <c r="H136" s="301">
        <v>217039.95</v>
      </c>
      <c r="I136" s="301">
        <v>19873.8</v>
      </c>
      <c r="J136" s="301"/>
      <c r="K136" s="301">
        <v>4058.63</v>
      </c>
      <c r="L136" s="301">
        <v>-44023.3</v>
      </c>
      <c r="M136" s="301">
        <v>-983</v>
      </c>
      <c r="N136" s="302">
        <f t="shared" si="2"/>
        <v>23387.945812208356</v>
      </c>
      <c r="O136" s="301">
        <v>399465</v>
      </c>
      <c r="P136" s="301">
        <v>202088.63</v>
      </c>
      <c r="Q136" s="301">
        <v>50413.2</v>
      </c>
      <c r="R136" s="301">
        <v>-199.83</v>
      </c>
      <c r="S136" s="301">
        <v>355230.25</v>
      </c>
      <c r="T136" s="301">
        <v>12398.2</v>
      </c>
      <c r="U136" s="301">
        <v>276968</v>
      </c>
      <c r="V136" s="301">
        <v>113781.05</v>
      </c>
      <c r="W136" s="302">
        <f t="shared" si="3"/>
        <v>6023513.0658122087</v>
      </c>
      <c r="X136" s="301">
        <v>166</v>
      </c>
      <c r="Y136" s="301">
        <v>0</v>
      </c>
      <c r="Z136" s="303">
        <v>4.1000000000000002E-2</v>
      </c>
      <c r="AA136" s="301">
        <v>170</v>
      </c>
      <c r="AB136" s="301">
        <v>9</v>
      </c>
      <c r="AC136" s="301">
        <v>466855.47</v>
      </c>
      <c r="AD136" s="301">
        <v>-53788.637889239821</v>
      </c>
      <c r="AE136" s="301">
        <v>0</v>
      </c>
    </row>
    <row r="137" spans="1:31" x14ac:dyDescent="0.25">
      <c r="A137" s="148">
        <v>5633</v>
      </c>
      <c r="B137" s="293" t="s">
        <v>229</v>
      </c>
      <c r="C137" s="301">
        <v>3004</v>
      </c>
      <c r="D137" s="304">
        <v>60.5</v>
      </c>
      <c r="E137" s="305">
        <v>1</v>
      </c>
      <c r="F137" s="300">
        <v>6139372.4299999997</v>
      </c>
      <c r="G137" s="301">
        <v>1618365.5</v>
      </c>
      <c r="H137" s="301">
        <v>388237.95</v>
      </c>
      <c r="I137" s="301">
        <v>47586.95</v>
      </c>
      <c r="J137" s="301"/>
      <c r="K137" s="301">
        <v>3391.4</v>
      </c>
      <c r="L137" s="301">
        <v>-13701.25</v>
      </c>
      <c r="M137" s="301">
        <v>0</v>
      </c>
      <c r="N137" s="302">
        <f t="shared" ref="N137:N200" si="4">$N$308/SUM($H$308:$I$308)*(H137+I137)</f>
        <v>43024.303759537499</v>
      </c>
      <c r="O137" s="301">
        <v>747281.75</v>
      </c>
      <c r="P137" s="301">
        <v>281658.36</v>
      </c>
      <c r="Q137" s="301">
        <v>45133.05</v>
      </c>
      <c r="R137" s="301">
        <v>-54240.85</v>
      </c>
      <c r="S137" s="301">
        <v>294657.8</v>
      </c>
      <c r="T137" s="301">
        <v>574735.30000000005</v>
      </c>
      <c r="U137" s="301">
        <v>349375.65</v>
      </c>
      <c r="V137" s="301">
        <v>201321.55</v>
      </c>
      <c r="W137" s="302">
        <f t="shared" ref="W137:W200" si="5">SUM(F137:V137)</f>
        <v>10666199.893759541</v>
      </c>
      <c r="X137" s="301">
        <v>384</v>
      </c>
      <c r="Y137" s="301">
        <v>0</v>
      </c>
      <c r="Z137" s="303">
        <v>4.5999999999999999E-2</v>
      </c>
      <c r="AA137" s="301">
        <v>243</v>
      </c>
      <c r="AB137" s="301">
        <v>100</v>
      </c>
      <c r="AC137" s="301">
        <v>898781.2</v>
      </c>
      <c r="AD137" s="301">
        <v>-103332.08821082069</v>
      </c>
      <c r="AE137" s="301">
        <v>0</v>
      </c>
    </row>
    <row r="138" spans="1:31" x14ac:dyDescent="0.25">
      <c r="A138" s="148">
        <v>5634</v>
      </c>
      <c r="B138" s="293" t="s">
        <v>230</v>
      </c>
      <c r="C138" s="301">
        <v>3218</v>
      </c>
      <c r="D138" s="304">
        <v>66</v>
      </c>
      <c r="E138" s="305">
        <v>1</v>
      </c>
      <c r="F138" s="300">
        <v>8845607.4399999995</v>
      </c>
      <c r="G138" s="301">
        <v>1498075.02</v>
      </c>
      <c r="H138" s="301">
        <v>110720.95</v>
      </c>
      <c r="I138" s="301">
        <v>49765.9</v>
      </c>
      <c r="J138" s="301">
        <v>38803.65</v>
      </c>
      <c r="K138" s="301">
        <v>5572.93</v>
      </c>
      <c r="L138" s="301">
        <v>-47795.45</v>
      </c>
      <c r="M138" s="301">
        <v>-5667</v>
      </c>
      <c r="N138" s="302">
        <f t="shared" si="4"/>
        <v>15843.140178111278</v>
      </c>
      <c r="O138" s="301">
        <v>794835.05</v>
      </c>
      <c r="P138" s="301">
        <v>60968.01</v>
      </c>
      <c r="Q138" s="301">
        <v>12635.9</v>
      </c>
      <c r="R138" s="301">
        <v>-11931.9</v>
      </c>
      <c r="S138" s="301">
        <v>269865.2</v>
      </c>
      <c r="T138" s="301">
        <v>415175.4</v>
      </c>
      <c r="U138" s="301">
        <v>337994.3</v>
      </c>
      <c r="V138" s="301">
        <v>77372.350000000006</v>
      </c>
      <c r="W138" s="302">
        <f t="shared" si="5"/>
        <v>12467840.89017811</v>
      </c>
      <c r="X138" s="301">
        <v>1325</v>
      </c>
      <c r="Y138" s="301">
        <v>0</v>
      </c>
      <c r="Z138" s="303">
        <v>2.1999999999999999E-2</v>
      </c>
      <c r="AA138" s="301">
        <v>417</v>
      </c>
      <c r="AB138" s="301">
        <v>169</v>
      </c>
      <c r="AC138" s="301">
        <v>515679.2</v>
      </c>
      <c r="AD138" s="301">
        <v>-94830.869261236745</v>
      </c>
      <c r="AE138" s="301">
        <v>0</v>
      </c>
    </row>
    <row r="139" spans="1:31" x14ac:dyDescent="0.25">
      <c r="A139" s="148">
        <v>5635</v>
      </c>
      <c r="B139" s="293" t="s">
        <v>231</v>
      </c>
      <c r="C139" s="301">
        <v>13391</v>
      </c>
      <c r="D139" s="304">
        <v>62.5</v>
      </c>
      <c r="E139" s="305">
        <v>1.2</v>
      </c>
      <c r="F139" s="300">
        <v>19550861.109999999</v>
      </c>
      <c r="G139" s="301">
        <v>2683133.56</v>
      </c>
      <c r="H139" s="301">
        <v>6047900.5</v>
      </c>
      <c r="I139" s="301">
        <v>717616.8</v>
      </c>
      <c r="J139" s="301">
        <v>97844.85</v>
      </c>
      <c r="K139" s="301">
        <v>93353.73</v>
      </c>
      <c r="L139" s="301">
        <v>-342073.74</v>
      </c>
      <c r="M139" s="301">
        <v>-45050.34</v>
      </c>
      <c r="N139" s="302">
        <f t="shared" si="4"/>
        <v>667886.7393891582</v>
      </c>
      <c r="O139" s="301">
        <v>3413515</v>
      </c>
      <c r="P139" s="301">
        <v>1192526.4099999999</v>
      </c>
      <c r="Q139" s="301">
        <v>534402.4</v>
      </c>
      <c r="R139" s="301">
        <v>-21914.28</v>
      </c>
      <c r="S139" s="301">
        <v>1511585.9</v>
      </c>
      <c r="T139" s="301">
        <v>677637.6</v>
      </c>
      <c r="U139" s="301">
        <v>1210193.45</v>
      </c>
      <c r="V139" s="301">
        <v>2741842.5</v>
      </c>
      <c r="W139" s="302">
        <f t="shared" si="5"/>
        <v>40731262.189389162</v>
      </c>
      <c r="X139" s="301">
        <v>565</v>
      </c>
      <c r="Y139" s="301">
        <v>0</v>
      </c>
      <c r="Z139" s="303">
        <v>5.6000000000000001E-2</v>
      </c>
      <c r="AA139" s="301">
        <v>1400</v>
      </c>
      <c r="AB139" s="301">
        <v>43</v>
      </c>
      <c r="AC139" s="301">
        <v>5021206.13</v>
      </c>
      <c r="AD139" s="301">
        <v>-753893.50999999978</v>
      </c>
      <c r="AE139" s="301">
        <v>1</v>
      </c>
    </row>
    <row r="140" spans="1:31" x14ac:dyDescent="0.25">
      <c r="A140" s="148">
        <v>5636</v>
      </c>
      <c r="B140" s="293" t="s">
        <v>232</v>
      </c>
      <c r="C140" s="301">
        <v>2966</v>
      </c>
      <c r="D140" s="304">
        <v>60</v>
      </c>
      <c r="E140" s="305">
        <v>1</v>
      </c>
      <c r="F140" s="300">
        <v>6566839.5800000001</v>
      </c>
      <c r="G140" s="301">
        <v>981435.12</v>
      </c>
      <c r="H140" s="301">
        <v>2740743.75</v>
      </c>
      <c r="I140" s="301">
        <v>239711.85</v>
      </c>
      <c r="J140" s="301">
        <v>29870.9</v>
      </c>
      <c r="K140" s="301">
        <v>36641.5</v>
      </c>
      <c r="L140" s="301">
        <v>-96486.06</v>
      </c>
      <c r="M140" s="301">
        <v>-1368</v>
      </c>
      <c r="N140" s="302">
        <f t="shared" si="4"/>
        <v>294228.31755646493</v>
      </c>
      <c r="O140" s="301">
        <v>1211954.45</v>
      </c>
      <c r="P140" s="301">
        <v>618581.61</v>
      </c>
      <c r="Q140" s="301">
        <v>253826.55</v>
      </c>
      <c r="R140" s="301">
        <v>-2545.9</v>
      </c>
      <c r="S140" s="301">
        <v>166563.70000000001</v>
      </c>
      <c r="T140" s="301">
        <v>-79855.5</v>
      </c>
      <c r="U140" s="301">
        <v>186813.7</v>
      </c>
      <c r="V140" s="301">
        <v>726740.75</v>
      </c>
      <c r="W140" s="302">
        <f t="shared" si="5"/>
        <v>13873696.317556461</v>
      </c>
      <c r="X140" s="301">
        <v>490</v>
      </c>
      <c r="Y140" s="301">
        <v>0</v>
      </c>
      <c r="Z140" s="303">
        <v>2.7E-2</v>
      </c>
      <c r="AA140" s="301">
        <v>293</v>
      </c>
      <c r="AB140" s="301">
        <v>111</v>
      </c>
      <c r="AC140" s="301">
        <v>0</v>
      </c>
      <c r="AD140" s="301">
        <v>0</v>
      </c>
      <c r="AE140" s="301">
        <v>0</v>
      </c>
    </row>
    <row r="141" spans="1:31" x14ac:dyDescent="0.25">
      <c r="A141" s="148">
        <v>5637</v>
      </c>
      <c r="B141" s="293" t="s">
        <v>233</v>
      </c>
      <c r="C141" s="301">
        <v>1100</v>
      </c>
      <c r="D141" s="304">
        <v>73</v>
      </c>
      <c r="E141" s="305">
        <v>1.5</v>
      </c>
      <c r="F141" s="300">
        <v>2159513.3199999998</v>
      </c>
      <c r="G141" s="301">
        <v>246201.69</v>
      </c>
      <c r="H141" s="301">
        <v>33096.9</v>
      </c>
      <c r="I141" s="301">
        <v>3660.6</v>
      </c>
      <c r="J141" s="301"/>
      <c r="K141" s="301">
        <v>43413.46</v>
      </c>
      <c r="L141" s="301">
        <v>-60150.57</v>
      </c>
      <c r="M141" s="301">
        <v>-220</v>
      </c>
      <c r="N141" s="302">
        <f t="shared" si="4"/>
        <v>3628.6725367026975</v>
      </c>
      <c r="O141" s="301">
        <v>311865.45</v>
      </c>
      <c r="P141" s="301">
        <v>86585.42</v>
      </c>
      <c r="Q141" s="301">
        <v>10082.950000000001</v>
      </c>
      <c r="R141" s="301">
        <v>-958.19</v>
      </c>
      <c r="S141" s="301">
        <v>40087.25</v>
      </c>
      <c r="T141" s="301">
        <v>21821.9</v>
      </c>
      <c r="U141" s="301">
        <v>197524.1</v>
      </c>
      <c r="V141" s="301">
        <v>318475.84999999998</v>
      </c>
      <c r="W141" s="302">
        <f t="shared" si="5"/>
        <v>3414628.8025367032</v>
      </c>
      <c r="X141" s="301">
        <v>395</v>
      </c>
      <c r="Y141" s="301">
        <v>0</v>
      </c>
      <c r="Z141" s="303">
        <v>4.7E-2</v>
      </c>
      <c r="AA141" s="301">
        <v>132</v>
      </c>
      <c r="AB141" s="301">
        <v>50</v>
      </c>
      <c r="AC141" s="301">
        <v>0</v>
      </c>
      <c r="AD141" s="301">
        <v>0</v>
      </c>
      <c r="AE141" s="301">
        <v>0</v>
      </c>
    </row>
    <row r="142" spans="1:31" x14ac:dyDescent="0.25">
      <c r="A142" s="148">
        <v>5638</v>
      </c>
      <c r="B142" s="293" t="s">
        <v>234</v>
      </c>
      <c r="C142" s="301">
        <v>2733</v>
      </c>
      <c r="D142" s="304">
        <v>55</v>
      </c>
      <c r="E142" s="305">
        <v>1</v>
      </c>
      <c r="F142" s="300">
        <v>5464264.6900000004</v>
      </c>
      <c r="G142" s="301">
        <v>1076653.73</v>
      </c>
      <c r="H142" s="301">
        <v>575828.35</v>
      </c>
      <c r="I142" s="301">
        <v>86353.3</v>
      </c>
      <c r="J142" s="301">
        <v>359927.65</v>
      </c>
      <c r="K142" s="301">
        <v>33556.519999999997</v>
      </c>
      <c r="L142" s="301">
        <v>-90449.22</v>
      </c>
      <c r="M142" s="301">
        <v>-2616.66</v>
      </c>
      <c r="N142" s="302">
        <f t="shared" si="4"/>
        <v>65370.070534271312</v>
      </c>
      <c r="O142" s="301">
        <v>747999.2</v>
      </c>
      <c r="P142" s="301">
        <v>214366.07</v>
      </c>
      <c r="Q142" s="301">
        <v>73791.600000000006</v>
      </c>
      <c r="R142" s="301">
        <v>-6196.64</v>
      </c>
      <c r="S142" s="301">
        <v>271544.7</v>
      </c>
      <c r="T142" s="301">
        <v>3205539.9</v>
      </c>
      <c r="U142" s="301">
        <v>397088.55</v>
      </c>
      <c r="V142" s="301">
        <v>336838.5</v>
      </c>
      <c r="W142" s="302">
        <f t="shared" si="5"/>
        <v>12809860.31053427</v>
      </c>
      <c r="X142" s="301">
        <v>369</v>
      </c>
      <c r="Y142" s="301">
        <v>0</v>
      </c>
      <c r="Z142" s="303">
        <v>0.04</v>
      </c>
      <c r="AA142" s="301">
        <v>267</v>
      </c>
      <c r="AB142" s="301">
        <v>10</v>
      </c>
      <c r="AC142" s="301">
        <v>994414.83</v>
      </c>
      <c r="AD142" s="301">
        <v>-146461.98324920575</v>
      </c>
      <c r="AE142" s="301">
        <v>0</v>
      </c>
    </row>
    <row r="143" spans="1:31" x14ac:dyDescent="0.25">
      <c r="A143" s="148">
        <v>5639</v>
      </c>
      <c r="B143" s="293" t="s">
        <v>235</v>
      </c>
      <c r="C143" s="301">
        <v>838</v>
      </c>
      <c r="D143" s="304">
        <v>61</v>
      </c>
      <c r="E143" s="305">
        <v>1.25</v>
      </c>
      <c r="F143" s="300">
        <v>2525851.4900000002</v>
      </c>
      <c r="G143" s="301">
        <v>618411</v>
      </c>
      <c r="H143" s="301">
        <v>37116.5</v>
      </c>
      <c r="I143" s="301">
        <v>4758.6000000000004</v>
      </c>
      <c r="J143" s="301"/>
      <c r="K143" s="301"/>
      <c r="L143" s="301">
        <v>-141.01</v>
      </c>
      <c r="M143" s="301">
        <v>0</v>
      </c>
      <c r="N143" s="302">
        <f t="shared" si="4"/>
        <v>4133.8781294070359</v>
      </c>
      <c r="O143" s="301">
        <v>273740.15000000002</v>
      </c>
      <c r="P143" s="301">
        <v>-3253.93</v>
      </c>
      <c r="Q143" s="301">
        <v>2936.85</v>
      </c>
      <c r="R143" s="301">
        <v>-3112.05</v>
      </c>
      <c r="S143" s="301">
        <v>106368.35</v>
      </c>
      <c r="T143" s="301">
        <v>130260.8</v>
      </c>
      <c r="U143" s="301">
        <v>284490.15000000002</v>
      </c>
      <c r="V143" s="301">
        <v>28955.75</v>
      </c>
      <c r="W143" s="302">
        <f t="shared" si="5"/>
        <v>4010516.5281294072</v>
      </c>
      <c r="X143" s="301">
        <v>203</v>
      </c>
      <c r="Y143" s="301">
        <v>0</v>
      </c>
      <c r="Z143" s="303">
        <v>5.3999999999999999E-2</v>
      </c>
      <c r="AA143" s="301">
        <v>114</v>
      </c>
      <c r="AB143" s="301">
        <v>31</v>
      </c>
      <c r="AC143" s="301">
        <v>177201.52</v>
      </c>
      <c r="AD143" s="301">
        <v>-36091.098071719171</v>
      </c>
      <c r="AE143" s="301">
        <v>0</v>
      </c>
    </row>
    <row r="144" spans="1:31" x14ac:dyDescent="0.25">
      <c r="A144" s="148">
        <v>5640</v>
      </c>
      <c r="B144" s="293" t="s">
        <v>236</v>
      </c>
      <c r="C144" s="301">
        <v>719</v>
      </c>
      <c r="D144" s="304">
        <v>61.5</v>
      </c>
      <c r="E144" s="305">
        <v>1</v>
      </c>
      <c r="F144" s="300">
        <v>2782789.43</v>
      </c>
      <c r="G144" s="301">
        <v>700984.76</v>
      </c>
      <c r="H144" s="301">
        <v>62802.85</v>
      </c>
      <c r="I144" s="301">
        <v>4304.25</v>
      </c>
      <c r="J144" s="301">
        <v>83927.5</v>
      </c>
      <c r="K144" s="301"/>
      <c r="L144" s="301">
        <v>-3269.91</v>
      </c>
      <c r="M144" s="301">
        <v>0</v>
      </c>
      <c r="N144" s="302">
        <f t="shared" si="4"/>
        <v>6624.7620427875027</v>
      </c>
      <c r="O144" s="301">
        <v>222430.4</v>
      </c>
      <c r="P144" s="301">
        <v>27925.02</v>
      </c>
      <c r="Q144" s="301">
        <v>10925.25</v>
      </c>
      <c r="R144" s="301">
        <v>-6192.41</v>
      </c>
      <c r="S144" s="301">
        <v>54256.95</v>
      </c>
      <c r="T144" s="301">
        <v>12558.5</v>
      </c>
      <c r="U144" s="301">
        <v>93210.75</v>
      </c>
      <c r="V144" s="301">
        <v>29199.95</v>
      </c>
      <c r="W144" s="302">
        <f t="shared" si="5"/>
        <v>4082478.0520427879</v>
      </c>
      <c r="X144" s="301">
        <v>235</v>
      </c>
      <c r="Y144" s="301">
        <v>0</v>
      </c>
      <c r="Z144" s="303">
        <v>3.6999999999999998E-2</v>
      </c>
      <c r="AA144" s="301">
        <v>104</v>
      </c>
      <c r="AB144" s="301">
        <v>85</v>
      </c>
      <c r="AC144" s="301">
        <v>204544.8</v>
      </c>
      <c r="AD144" s="301">
        <v>-27984.044892096397</v>
      </c>
      <c r="AE144" s="301">
        <v>1</v>
      </c>
    </row>
    <row r="145" spans="1:31" x14ac:dyDescent="0.25">
      <c r="A145" s="148">
        <v>5642</v>
      </c>
      <c r="B145" s="293" t="s">
        <v>67</v>
      </c>
      <c r="C145" s="301">
        <v>17715</v>
      </c>
      <c r="D145" s="304">
        <v>67</v>
      </c>
      <c r="E145" s="305">
        <v>1</v>
      </c>
      <c r="F145" s="300">
        <v>41893624.140000001</v>
      </c>
      <c r="G145" s="301">
        <v>6174159.8399999999</v>
      </c>
      <c r="H145" s="301">
        <v>14572650.5</v>
      </c>
      <c r="I145" s="301">
        <v>404853.55</v>
      </c>
      <c r="J145" s="301">
        <v>784003.89</v>
      </c>
      <c r="K145" s="301">
        <v>220850.25</v>
      </c>
      <c r="L145" s="301">
        <v>-623325.84</v>
      </c>
      <c r="M145" s="301">
        <v>-11774</v>
      </c>
      <c r="N145" s="302">
        <f t="shared" si="4"/>
        <v>1478567.8464147025</v>
      </c>
      <c r="O145" s="301">
        <v>3984145.55</v>
      </c>
      <c r="P145" s="301">
        <v>1851940.75</v>
      </c>
      <c r="Q145" s="301">
        <v>558613.25</v>
      </c>
      <c r="R145" s="301">
        <v>-120425.5</v>
      </c>
      <c r="S145" s="301">
        <v>2265533.2999999998</v>
      </c>
      <c r="T145" s="301">
        <v>3514804.3</v>
      </c>
      <c r="U145" s="301">
        <v>2579786.65</v>
      </c>
      <c r="V145" s="301">
        <v>1929869.5</v>
      </c>
      <c r="W145" s="302">
        <f t="shared" si="5"/>
        <v>81457877.976414695</v>
      </c>
      <c r="X145" s="301">
        <v>385</v>
      </c>
      <c r="Y145" s="301">
        <v>0</v>
      </c>
      <c r="Z145" s="303">
        <v>5.2999999999999999E-2</v>
      </c>
      <c r="AA145" s="301">
        <v>1630</v>
      </c>
      <c r="AB145" s="301">
        <v>22</v>
      </c>
      <c r="AC145" s="301">
        <v>4858184.07</v>
      </c>
      <c r="AD145" s="301">
        <v>-515219.43825009791</v>
      </c>
      <c r="AE145" s="301">
        <v>1</v>
      </c>
    </row>
    <row r="146" spans="1:31" x14ac:dyDescent="0.25">
      <c r="A146" s="148">
        <v>5643</v>
      </c>
      <c r="B146" s="293" t="s">
        <v>237</v>
      </c>
      <c r="C146" s="301">
        <v>5273</v>
      </c>
      <c r="D146" s="304">
        <v>65</v>
      </c>
      <c r="E146" s="305">
        <v>1</v>
      </c>
      <c r="F146" s="300">
        <v>11613724.810000001</v>
      </c>
      <c r="G146" s="301">
        <v>2475189.2000000002</v>
      </c>
      <c r="H146" s="301">
        <v>575035.19999999995</v>
      </c>
      <c r="I146" s="301">
        <v>52846.6</v>
      </c>
      <c r="J146" s="301">
        <v>379589.83</v>
      </c>
      <c r="K146" s="301">
        <v>20632.07</v>
      </c>
      <c r="L146" s="301">
        <v>-162002.88</v>
      </c>
      <c r="M146" s="301">
        <v>-7650</v>
      </c>
      <c r="N146" s="302">
        <f t="shared" si="4"/>
        <v>61984.015342595536</v>
      </c>
      <c r="O146" s="301">
        <v>1183178.55</v>
      </c>
      <c r="P146" s="301">
        <v>303391.63</v>
      </c>
      <c r="Q146" s="301">
        <v>84856.15</v>
      </c>
      <c r="R146" s="301">
        <v>-32986.31</v>
      </c>
      <c r="S146" s="301">
        <v>458879.7</v>
      </c>
      <c r="T146" s="301">
        <v>1606263.6</v>
      </c>
      <c r="U146" s="301">
        <v>555506.6</v>
      </c>
      <c r="V146" s="301">
        <v>238052.1</v>
      </c>
      <c r="W146" s="302">
        <f t="shared" si="5"/>
        <v>19406490.865342602</v>
      </c>
      <c r="X146" s="301">
        <v>182</v>
      </c>
      <c r="Y146" s="301">
        <v>0</v>
      </c>
      <c r="Z146" s="303">
        <v>3.3000000000000002E-2</v>
      </c>
      <c r="AA146" s="301">
        <v>578</v>
      </c>
      <c r="AB146" s="301">
        <v>22</v>
      </c>
      <c r="AC146" s="301">
        <v>1031456.04</v>
      </c>
      <c r="AD146" s="301">
        <v>-165597.92865344824</v>
      </c>
      <c r="AE146" s="301">
        <v>1</v>
      </c>
    </row>
    <row r="147" spans="1:31" x14ac:dyDescent="0.25">
      <c r="A147" s="148">
        <v>5645</v>
      </c>
      <c r="B147" s="293" t="s">
        <v>238</v>
      </c>
      <c r="C147" s="301">
        <v>454</v>
      </c>
      <c r="D147" s="304">
        <v>56</v>
      </c>
      <c r="E147" s="305">
        <v>1</v>
      </c>
      <c r="F147" s="300">
        <v>1032189.42</v>
      </c>
      <c r="G147" s="301">
        <v>179562.29</v>
      </c>
      <c r="H147" s="301">
        <v>137472.20000000001</v>
      </c>
      <c r="I147" s="301">
        <v>27914.3</v>
      </c>
      <c r="J147" s="301"/>
      <c r="K147" s="301">
        <v>981.23</v>
      </c>
      <c r="L147" s="301">
        <v>-23955.19</v>
      </c>
      <c r="M147" s="301">
        <v>0</v>
      </c>
      <c r="N147" s="302">
        <f t="shared" si="4"/>
        <v>16326.829912028312</v>
      </c>
      <c r="O147" s="301">
        <v>165921.60000000001</v>
      </c>
      <c r="P147" s="301">
        <v>29681.03</v>
      </c>
      <c r="Q147" s="301">
        <v>22293</v>
      </c>
      <c r="R147" s="301">
        <v>-2830.48</v>
      </c>
      <c r="S147" s="301">
        <v>65907.75</v>
      </c>
      <c r="T147" s="301">
        <v>24272.5</v>
      </c>
      <c r="U147" s="301">
        <v>17589</v>
      </c>
      <c r="V147" s="301">
        <v>85593.2</v>
      </c>
      <c r="W147" s="302">
        <f t="shared" si="5"/>
        <v>1778918.6799120284</v>
      </c>
      <c r="X147" s="301">
        <v>170</v>
      </c>
      <c r="Y147" s="301">
        <v>0</v>
      </c>
      <c r="Z147" s="303">
        <v>7.9000000000000001E-2</v>
      </c>
      <c r="AA147" s="301">
        <v>29</v>
      </c>
      <c r="AB147" s="301">
        <v>16</v>
      </c>
      <c r="AC147" s="301">
        <v>0</v>
      </c>
      <c r="AD147" s="301">
        <v>0</v>
      </c>
      <c r="AE147" s="301">
        <v>0</v>
      </c>
    </row>
    <row r="148" spans="1:31" x14ac:dyDescent="0.25">
      <c r="A148" s="148">
        <v>5646</v>
      </c>
      <c r="B148" s="293" t="s">
        <v>239</v>
      </c>
      <c r="C148" s="301">
        <v>5868</v>
      </c>
      <c r="D148" s="304">
        <v>59</v>
      </c>
      <c r="E148" s="305">
        <v>1.2</v>
      </c>
      <c r="F148" s="300">
        <v>13673030.1</v>
      </c>
      <c r="G148" s="301">
        <v>3330999.02</v>
      </c>
      <c r="H148" s="301">
        <v>2059685.4</v>
      </c>
      <c r="I148" s="301">
        <v>4972169.5999999996</v>
      </c>
      <c r="J148" s="301">
        <v>616588.51</v>
      </c>
      <c r="K148" s="301">
        <v>18754.23</v>
      </c>
      <c r="L148" s="301">
        <v>-253692.95</v>
      </c>
      <c r="M148" s="301">
        <v>-8883</v>
      </c>
      <c r="N148" s="302">
        <f t="shared" si="4"/>
        <v>694179.39524112211</v>
      </c>
      <c r="O148" s="301">
        <v>2161833.35</v>
      </c>
      <c r="P148" s="301">
        <v>616636.19999999995</v>
      </c>
      <c r="Q148" s="301">
        <v>75821.05</v>
      </c>
      <c r="R148" s="301">
        <v>-112171.63</v>
      </c>
      <c r="S148" s="301">
        <v>741233.6</v>
      </c>
      <c r="T148" s="301">
        <v>408666.5</v>
      </c>
      <c r="U148" s="301">
        <v>511886</v>
      </c>
      <c r="V148" s="301">
        <v>649084.35</v>
      </c>
      <c r="W148" s="302">
        <f t="shared" si="5"/>
        <v>30155819.725241128</v>
      </c>
      <c r="X148" s="301">
        <v>551</v>
      </c>
      <c r="Y148" s="301">
        <v>0</v>
      </c>
      <c r="Z148" s="303">
        <v>4.3999999999999997E-2</v>
      </c>
      <c r="AA148" s="301">
        <v>660</v>
      </c>
      <c r="AB148" s="301">
        <v>17</v>
      </c>
      <c r="AC148" s="301">
        <v>0</v>
      </c>
      <c r="AD148" s="301">
        <v>0</v>
      </c>
      <c r="AE148" s="301">
        <v>1</v>
      </c>
    </row>
    <row r="149" spans="1:31" x14ac:dyDescent="0.25">
      <c r="A149" s="148">
        <v>5648</v>
      </c>
      <c r="B149" s="293" t="s">
        <v>240</v>
      </c>
      <c r="C149" s="301">
        <v>5157</v>
      </c>
      <c r="D149" s="304">
        <v>55</v>
      </c>
      <c r="E149" s="305">
        <v>0.8</v>
      </c>
      <c r="F149" s="300">
        <v>16109908.109999999</v>
      </c>
      <c r="G149" s="301">
        <v>4049354.36</v>
      </c>
      <c r="H149" s="301">
        <v>645198.55000000005</v>
      </c>
      <c r="I149" s="301">
        <v>120545.7</v>
      </c>
      <c r="J149" s="301">
        <v>200450.09</v>
      </c>
      <c r="K149" s="301">
        <v>9006.44</v>
      </c>
      <c r="L149" s="301">
        <v>-313611.81</v>
      </c>
      <c r="M149" s="301">
        <v>-1936.66</v>
      </c>
      <c r="N149" s="302">
        <f t="shared" si="4"/>
        <v>75593.691902686653</v>
      </c>
      <c r="O149" s="301">
        <v>1472095.11</v>
      </c>
      <c r="P149" s="301">
        <v>522049</v>
      </c>
      <c r="Q149" s="301">
        <v>197240.75</v>
      </c>
      <c r="R149" s="301">
        <v>-86160.14</v>
      </c>
      <c r="S149" s="301">
        <v>676617.7</v>
      </c>
      <c r="T149" s="301">
        <v>249387.3</v>
      </c>
      <c r="U149" s="301">
        <v>1131563</v>
      </c>
      <c r="V149" s="301">
        <v>97070.399999999994</v>
      </c>
      <c r="W149" s="302">
        <f t="shared" si="5"/>
        <v>25154371.591902684</v>
      </c>
      <c r="X149" s="301">
        <v>181</v>
      </c>
      <c r="Y149" s="301">
        <v>0</v>
      </c>
      <c r="Z149" s="303">
        <v>3.6999999999999998E-2</v>
      </c>
      <c r="AA149" s="301">
        <v>463</v>
      </c>
      <c r="AB149" s="301">
        <v>104</v>
      </c>
      <c r="AC149" s="301">
        <v>2280153.9900000002</v>
      </c>
      <c r="AD149" s="301">
        <v>-467731.22000000009</v>
      </c>
      <c r="AE149" s="301">
        <v>1</v>
      </c>
    </row>
    <row r="150" spans="1:31" x14ac:dyDescent="0.25">
      <c r="A150" s="148">
        <v>5649</v>
      </c>
      <c r="B150" s="293" t="s">
        <v>241</v>
      </c>
      <c r="C150" s="301">
        <v>1934</v>
      </c>
      <c r="D150" s="304">
        <v>64</v>
      </c>
      <c r="E150" s="305">
        <v>1</v>
      </c>
      <c r="F150" s="300">
        <v>4625396.22</v>
      </c>
      <c r="G150" s="301">
        <v>199120.72</v>
      </c>
      <c r="H150" s="452">
        <f>19557975.65-1500000</f>
        <v>18057975.649999999</v>
      </c>
      <c r="I150" s="301">
        <v>215196.2</v>
      </c>
      <c r="J150" s="301"/>
      <c r="K150" s="301">
        <v>11111.34</v>
      </c>
      <c r="L150" s="301">
        <v>-70671.37</v>
      </c>
      <c r="M150" s="301">
        <v>-1190</v>
      </c>
      <c r="N150" s="302">
        <f t="shared" si="4"/>
        <v>1803913.673414781</v>
      </c>
      <c r="O150" s="301">
        <v>603710.65</v>
      </c>
      <c r="P150" s="301">
        <v>510061.44</v>
      </c>
      <c r="Q150" s="301">
        <v>78106.100000000006</v>
      </c>
      <c r="R150" s="301">
        <v>-3440.5</v>
      </c>
      <c r="S150" s="301">
        <v>158494.75</v>
      </c>
      <c r="T150" s="301">
        <v>89818.7</v>
      </c>
      <c r="U150" s="301">
        <v>331261.95</v>
      </c>
      <c r="V150" s="301">
        <v>276035.34999999998</v>
      </c>
      <c r="W150" s="302">
        <f t="shared" si="5"/>
        <v>26884900.873414777</v>
      </c>
      <c r="X150" s="301">
        <v>157</v>
      </c>
      <c r="Y150" s="301">
        <v>0</v>
      </c>
      <c r="Z150" s="303">
        <v>5.3999999999999999E-2</v>
      </c>
      <c r="AA150" s="301">
        <v>227</v>
      </c>
      <c r="AB150" s="301">
        <v>77</v>
      </c>
      <c r="AC150" s="301">
        <v>752378.52</v>
      </c>
      <c r="AD150" s="301">
        <v>-92416.592614202062</v>
      </c>
      <c r="AE150" s="301">
        <v>1</v>
      </c>
    </row>
    <row r="151" spans="1:31" x14ac:dyDescent="0.25">
      <c r="A151" s="148">
        <v>5650</v>
      </c>
      <c r="B151" s="293" t="s">
        <v>242</v>
      </c>
      <c r="C151" s="301">
        <v>185</v>
      </c>
      <c r="D151" s="304">
        <v>56</v>
      </c>
      <c r="E151" s="305">
        <v>1.25</v>
      </c>
      <c r="F151" s="300">
        <v>2372261</v>
      </c>
      <c r="G151" s="301">
        <v>4111686.95</v>
      </c>
      <c r="H151" s="301">
        <v>2246.8000000000002</v>
      </c>
      <c r="I151" s="301">
        <v>319.8</v>
      </c>
      <c r="J151" s="301"/>
      <c r="K151" s="301"/>
      <c r="L151" s="301">
        <v>-215.07</v>
      </c>
      <c r="M151" s="301">
        <v>0</v>
      </c>
      <c r="N151" s="302">
        <f t="shared" si="4"/>
        <v>253.37280643953329</v>
      </c>
      <c r="O151" s="301">
        <v>58064</v>
      </c>
      <c r="P151" s="301">
        <v>-1496.06</v>
      </c>
      <c r="Q151" s="301"/>
      <c r="R151" s="301">
        <v>-4868.8500000000004</v>
      </c>
      <c r="S151" s="301">
        <v>19112.5</v>
      </c>
      <c r="T151" s="301"/>
      <c r="U151" s="301">
        <v>18664.150000000001</v>
      </c>
      <c r="V151" s="301">
        <v>230.65</v>
      </c>
      <c r="W151" s="302">
        <f t="shared" si="5"/>
        <v>6576259.2428064402</v>
      </c>
      <c r="X151" s="301">
        <v>210</v>
      </c>
      <c r="Y151" s="301">
        <v>0</v>
      </c>
      <c r="Z151" s="303">
        <v>4.3999999999999997E-2</v>
      </c>
      <c r="AA151" s="301">
        <v>18</v>
      </c>
      <c r="AB151" s="301">
        <v>9</v>
      </c>
      <c r="AC151" s="301">
        <v>0</v>
      </c>
      <c r="AD151" s="301">
        <v>0</v>
      </c>
      <c r="AE151" s="301">
        <v>0</v>
      </c>
    </row>
    <row r="152" spans="1:31" x14ac:dyDescent="0.25">
      <c r="A152" s="148">
        <v>5651</v>
      </c>
      <c r="B152" s="293" t="s">
        <v>243</v>
      </c>
      <c r="C152" s="301">
        <v>955</v>
      </c>
      <c r="D152" s="304">
        <v>60.5</v>
      </c>
      <c r="E152" s="305">
        <v>1</v>
      </c>
      <c r="F152" s="300">
        <v>1937570.99</v>
      </c>
      <c r="G152" s="301">
        <v>344649.03</v>
      </c>
      <c r="H152" s="301">
        <v>1009519.8</v>
      </c>
      <c r="I152" s="301">
        <v>846.8</v>
      </c>
      <c r="J152" s="301"/>
      <c r="K152" s="301">
        <v>6600.52</v>
      </c>
      <c r="L152" s="301">
        <v>-60795.19</v>
      </c>
      <c r="M152" s="301">
        <v>-4367</v>
      </c>
      <c r="N152" s="302">
        <f t="shared" si="4"/>
        <v>99742.624863542951</v>
      </c>
      <c r="O152" s="301">
        <v>392515.1</v>
      </c>
      <c r="P152" s="301">
        <v>20193.48</v>
      </c>
      <c r="Q152" s="301">
        <v>44565.4</v>
      </c>
      <c r="R152" s="301">
        <v>-1279.4000000000001</v>
      </c>
      <c r="S152" s="301">
        <v>144240.85</v>
      </c>
      <c r="T152" s="301">
        <v>11051.2</v>
      </c>
      <c r="U152" s="301">
        <v>116693.7</v>
      </c>
      <c r="V152" s="301">
        <v>287281.55</v>
      </c>
      <c r="W152" s="302">
        <f t="shared" si="5"/>
        <v>4349029.4548635436</v>
      </c>
      <c r="X152" s="301">
        <v>164</v>
      </c>
      <c r="Y152" s="301">
        <v>0</v>
      </c>
      <c r="Z152" s="303">
        <v>6.4000000000000001E-2</v>
      </c>
      <c r="AA152" s="301">
        <v>117</v>
      </c>
      <c r="AB152" s="301">
        <v>54</v>
      </c>
      <c r="AC152" s="301">
        <v>454850</v>
      </c>
      <c r="AD152" s="301">
        <v>-103089.03999999998</v>
      </c>
      <c r="AE152" s="301">
        <v>1</v>
      </c>
    </row>
    <row r="153" spans="1:31" x14ac:dyDescent="0.25">
      <c r="A153" s="148">
        <v>5652</v>
      </c>
      <c r="B153" s="293" t="s">
        <v>244</v>
      </c>
      <c r="C153" s="301">
        <v>602</v>
      </c>
      <c r="D153" s="304">
        <v>74</v>
      </c>
      <c r="E153" s="305">
        <v>1.2</v>
      </c>
      <c r="F153" s="300">
        <v>1588717.14</v>
      </c>
      <c r="G153" s="301">
        <v>284078.37</v>
      </c>
      <c r="H153" s="301">
        <v>37184.75</v>
      </c>
      <c r="I153" s="301">
        <v>1395.05</v>
      </c>
      <c r="J153" s="301"/>
      <c r="K153" s="301"/>
      <c r="L153" s="301">
        <v>-21015.65</v>
      </c>
      <c r="M153" s="301">
        <v>0</v>
      </c>
      <c r="N153" s="302">
        <f t="shared" si="4"/>
        <v>3808.5686113441539</v>
      </c>
      <c r="O153" s="301">
        <v>145267.9</v>
      </c>
      <c r="P153" s="301">
        <v>7952.77</v>
      </c>
      <c r="Q153" s="301">
        <v>1419.15</v>
      </c>
      <c r="R153" s="301">
        <v>-1563.9</v>
      </c>
      <c r="S153" s="301">
        <v>87138.9</v>
      </c>
      <c r="T153" s="301">
        <v>229759.7</v>
      </c>
      <c r="U153" s="301">
        <v>24380.85</v>
      </c>
      <c r="V153" s="301">
        <v>1364.05</v>
      </c>
      <c r="W153" s="302">
        <f t="shared" si="5"/>
        <v>2389887.6486113439</v>
      </c>
      <c r="X153" s="301">
        <v>307</v>
      </c>
      <c r="Y153" s="301">
        <v>0</v>
      </c>
      <c r="Z153" s="303">
        <v>3.9E-2</v>
      </c>
      <c r="AA153" s="301">
        <v>72</v>
      </c>
      <c r="AB153" s="301">
        <v>33</v>
      </c>
      <c r="AC153" s="301">
        <v>0</v>
      </c>
      <c r="AD153" s="301">
        <v>0</v>
      </c>
      <c r="AE153" s="301">
        <v>0</v>
      </c>
    </row>
    <row r="154" spans="1:31" x14ac:dyDescent="0.25">
      <c r="A154" s="148">
        <v>5653</v>
      </c>
      <c r="B154" s="293" t="s">
        <v>245</v>
      </c>
      <c r="C154" s="301">
        <v>838</v>
      </c>
      <c r="D154" s="304">
        <v>60.5</v>
      </c>
      <c r="E154" s="305">
        <v>0.8</v>
      </c>
      <c r="F154" s="300">
        <v>3249687.08</v>
      </c>
      <c r="G154" s="301">
        <v>983690.04</v>
      </c>
      <c r="H154" s="301">
        <v>7426.5</v>
      </c>
      <c r="I154" s="301">
        <v>-1392.7</v>
      </c>
      <c r="J154" s="301">
        <v>134403.9</v>
      </c>
      <c r="K154" s="301">
        <v>1076.05</v>
      </c>
      <c r="L154" s="301">
        <v>-6209.28</v>
      </c>
      <c r="M154" s="301">
        <v>-2600</v>
      </c>
      <c r="N154" s="302">
        <f t="shared" si="4"/>
        <v>595.65216219701381</v>
      </c>
      <c r="O154" s="301">
        <v>218847.7</v>
      </c>
      <c r="P154" s="301">
        <v>19540.990000000002</v>
      </c>
      <c r="Q154" s="301">
        <v>3354.4</v>
      </c>
      <c r="R154" s="301">
        <v>-53946.7</v>
      </c>
      <c r="S154" s="301">
        <v>215656.1</v>
      </c>
      <c r="T154" s="301">
        <v>1782</v>
      </c>
      <c r="U154" s="301">
        <v>145267.65</v>
      </c>
      <c r="V154" s="301">
        <v>1912.6</v>
      </c>
      <c r="W154" s="302">
        <f t="shared" si="5"/>
        <v>4919091.9821621971</v>
      </c>
      <c r="X154" s="301">
        <v>216</v>
      </c>
      <c r="Y154" s="301">
        <v>0</v>
      </c>
      <c r="Z154" s="303">
        <v>7.8E-2</v>
      </c>
      <c r="AA154" s="301">
        <v>96</v>
      </c>
      <c r="AB154" s="301">
        <v>59</v>
      </c>
      <c r="AC154" s="301">
        <v>0</v>
      </c>
      <c r="AD154" s="301">
        <v>0</v>
      </c>
      <c r="AE154" s="301">
        <v>0</v>
      </c>
    </row>
    <row r="155" spans="1:31" x14ac:dyDescent="0.25">
      <c r="A155" s="148">
        <v>5654</v>
      </c>
      <c r="B155" s="293" t="s">
        <v>246</v>
      </c>
      <c r="C155" s="301">
        <v>548</v>
      </c>
      <c r="D155" s="304">
        <v>76</v>
      </c>
      <c r="E155" s="305">
        <v>1</v>
      </c>
      <c r="F155" s="300">
        <v>1299477.26</v>
      </c>
      <c r="G155" s="301">
        <v>293205.63</v>
      </c>
      <c r="H155" s="301">
        <v>23003</v>
      </c>
      <c r="I155" s="301">
        <v>276.64999999999998</v>
      </c>
      <c r="J155" s="301"/>
      <c r="K155" s="301">
        <v>1714.61</v>
      </c>
      <c r="L155" s="301">
        <v>-2452.8200000000002</v>
      </c>
      <c r="M155" s="301">
        <v>-350</v>
      </c>
      <c r="N155" s="302">
        <f t="shared" si="4"/>
        <v>2298.1494013208448</v>
      </c>
      <c r="O155" s="301">
        <v>119734.1</v>
      </c>
      <c r="P155" s="301">
        <v>14851.54</v>
      </c>
      <c r="Q155" s="301">
        <v>1902.5</v>
      </c>
      <c r="R155" s="301">
        <v>-286.89999999999998</v>
      </c>
      <c r="S155" s="301">
        <v>42575.65</v>
      </c>
      <c r="T155" s="301"/>
      <c r="U155" s="301">
        <v>85570.2</v>
      </c>
      <c r="V155" s="301">
        <v>6294.85</v>
      </c>
      <c r="W155" s="302">
        <f t="shared" si="5"/>
        <v>1887814.4194013211</v>
      </c>
      <c r="X155" s="301">
        <v>681</v>
      </c>
      <c r="Y155" s="301">
        <v>0</v>
      </c>
      <c r="Z155" s="303">
        <v>1.6E-2</v>
      </c>
      <c r="AA155" s="301">
        <v>70</v>
      </c>
      <c r="AB155" s="301">
        <v>69</v>
      </c>
      <c r="AC155" s="301">
        <v>0</v>
      </c>
      <c r="AD155" s="301">
        <v>0</v>
      </c>
      <c r="AE155" s="301">
        <v>0</v>
      </c>
    </row>
    <row r="156" spans="1:31" x14ac:dyDescent="0.25">
      <c r="A156" s="148">
        <v>5655</v>
      </c>
      <c r="B156" s="293" t="s">
        <v>247</v>
      </c>
      <c r="C156" s="301">
        <v>1502</v>
      </c>
      <c r="D156" s="304">
        <v>70</v>
      </c>
      <c r="E156" s="305">
        <v>1</v>
      </c>
      <c r="F156" s="453">
        <f>5325493.59-1000000</f>
        <v>4325493.59</v>
      </c>
      <c r="G156" s="301">
        <v>1036758.38</v>
      </c>
      <c r="H156" s="301">
        <v>81065.5</v>
      </c>
      <c r="I156" s="301">
        <v>3934.9</v>
      </c>
      <c r="J156" s="301">
        <v>81684.5</v>
      </c>
      <c r="K156" s="301">
        <v>10191.64</v>
      </c>
      <c r="L156" s="301">
        <v>-40185.379999999997</v>
      </c>
      <c r="M156" s="301">
        <v>-2600</v>
      </c>
      <c r="N156" s="302">
        <f t="shared" si="4"/>
        <v>8391.1750551246405</v>
      </c>
      <c r="O156" s="301">
        <v>454328.75</v>
      </c>
      <c r="P156" s="301">
        <v>49412.46</v>
      </c>
      <c r="Q156" s="301">
        <v>226.95</v>
      </c>
      <c r="R156" s="301">
        <v>-15995.6</v>
      </c>
      <c r="S156" s="301">
        <v>249588</v>
      </c>
      <c r="T156" s="301">
        <v>40834.199999999997</v>
      </c>
      <c r="U156" s="301">
        <v>363607.9</v>
      </c>
      <c r="V156" s="301">
        <v>89065.25</v>
      </c>
      <c r="W156" s="302">
        <f t="shared" si="5"/>
        <v>6735802.2150551258</v>
      </c>
      <c r="X156" s="301">
        <v>951</v>
      </c>
      <c r="Y156" s="301">
        <v>0</v>
      </c>
      <c r="Z156" s="303">
        <v>4.2999999999999997E-2</v>
      </c>
      <c r="AA156" s="301">
        <v>191</v>
      </c>
      <c r="AB156" s="301">
        <v>65</v>
      </c>
      <c r="AC156" s="301">
        <v>0</v>
      </c>
      <c r="AD156" s="301">
        <v>0</v>
      </c>
      <c r="AE156" s="301">
        <v>0</v>
      </c>
    </row>
    <row r="157" spans="1:31" x14ac:dyDescent="0.25">
      <c r="A157" s="148">
        <v>5656</v>
      </c>
      <c r="B157" s="293" t="s">
        <v>248</v>
      </c>
      <c r="C157" s="301">
        <v>4387</v>
      </c>
      <c r="D157" s="304">
        <v>71</v>
      </c>
      <c r="E157" s="305">
        <v>1</v>
      </c>
      <c r="F157" s="300">
        <v>9022994.2300000004</v>
      </c>
      <c r="G157" s="301">
        <v>1444519.82</v>
      </c>
      <c r="H157" s="301">
        <v>234562.05</v>
      </c>
      <c r="I157" s="301">
        <v>175520.25</v>
      </c>
      <c r="J157" s="301">
        <v>220262.15</v>
      </c>
      <c r="K157" s="301">
        <v>85170.59</v>
      </c>
      <c r="L157" s="301">
        <v>-90353.99</v>
      </c>
      <c r="M157" s="301">
        <v>-3350</v>
      </c>
      <c r="N157" s="302">
        <f t="shared" si="4"/>
        <v>40483.013801207278</v>
      </c>
      <c r="O157" s="301">
        <v>930796.5</v>
      </c>
      <c r="P157" s="301">
        <v>263072.17</v>
      </c>
      <c r="Q157" s="301">
        <v>29329.75</v>
      </c>
      <c r="R157" s="301">
        <v>-10940.09</v>
      </c>
      <c r="S157" s="301">
        <v>298144.55</v>
      </c>
      <c r="T157" s="301">
        <v>165098.6</v>
      </c>
      <c r="U157" s="301">
        <v>413861.45</v>
      </c>
      <c r="V157" s="301">
        <v>88449.4</v>
      </c>
      <c r="W157" s="302">
        <f t="shared" si="5"/>
        <v>13307620.443801209</v>
      </c>
      <c r="X157" s="301">
        <v>3297</v>
      </c>
      <c r="Y157" s="301">
        <v>0</v>
      </c>
      <c r="Z157" s="303">
        <v>1.7000000000000001E-2</v>
      </c>
      <c r="AA157" s="301">
        <v>573</v>
      </c>
      <c r="AB157" s="301">
        <v>211</v>
      </c>
      <c r="AC157" s="301">
        <v>0</v>
      </c>
      <c r="AD157" s="301">
        <v>0</v>
      </c>
      <c r="AE157" s="301">
        <v>0</v>
      </c>
    </row>
    <row r="158" spans="1:31" x14ac:dyDescent="0.25">
      <c r="A158" s="148">
        <v>5661</v>
      </c>
      <c r="B158" s="293" t="s">
        <v>249</v>
      </c>
      <c r="C158" s="301">
        <v>368</v>
      </c>
      <c r="D158" s="304">
        <v>71.5</v>
      </c>
      <c r="E158" s="305">
        <v>1</v>
      </c>
      <c r="F158" s="300">
        <v>613125.71</v>
      </c>
      <c r="G158" s="301">
        <v>52080.02</v>
      </c>
      <c r="H158" s="301">
        <v>-797.2</v>
      </c>
      <c r="I158" s="301">
        <v>79.400000000000006</v>
      </c>
      <c r="J158" s="301"/>
      <c r="K158" s="301"/>
      <c r="L158" s="301">
        <v>-11685.16</v>
      </c>
      <c r="M158" s="301">
        <v>0</v>
      </c>
      <c r="N158" s="302">
        <f t="shared" si="4"/>
        <v>-70.860671885878972</v>
      </c>
      <c r="O158" s="301">
        <v>64029.4</v>
      </c>
      <c r="P158" s="301">
        <v>2760.69</v>
      </c>
      <c r="Q158" s="301">
        <v>555</v>
      </c>
      <c r="R158" s="301">
        <v>-13.15</v>
      </c>
      <c r="S158" s="301">
        <v>44454.400000000001</v>
      </c>
      <c r="T158" s="301"/>
      <c r="U158" s="301">
        <v>10967.95</v>
      </c>
      <c r="V158" s="301">
        <v>15880.3</v>
      </c>
      <c r="W158" s="302">
        <f t="shared" si="5"/>
        <v>791366.49932811409</v>
      </c>
      <c r="X158" s="301">
        <v>341</v>
      </c>
      <c r="Y158" s="301">
        <v>0</v>
      </c>
      <c r="Z158" s="303">
        <v>0.20799999999999999</v>
      </c>
      <c r="AA158" s="301">
        <v>54</v>
      </c>
      <c r="AB158" s="301">
        <v>52</v>
      </c>
      <c r="AC158" s="301">
        <v>0</v>
      </c>
      <c r="AD158" s="301">
        <v>0</v>
      </c>
      <c r="AE158" s="301">
        <v>0</v>
      </c>
    </row>
    <row r="159" spans="1:31" x14ac:dyDescent="0.25">
      <c r="A159" s="148">
        <v>5663</v>
      </c>
      <c r="B159" s="293" t="s">
        <v>250</v>
      </c>
      <c r="C159" s="301">
        <v>262</v>
      </c>
      <c r="D159" s="304">
        <v>78.5</v>
      </c>
      <c r="E159" s="305">
        <v>1</v>
      </c>
      <c r="F159" s="300">
        <v>387699.32</v>
      </c>
      <c r="G159" s="301">
        <v>28140.51</v>
      </c>
      <c r="H159" s="301">
        <v>4657.8999999999996</v>
      </c>
      <c r="I159" s="301">
        <v>862.2</v>
      </c>
      <c r="J159" s="301"/>
      <c r="K159" s="301"/>
      <c r="L159" s="301">
        <v>-2287.7399999999998</v>
      </c>
      <c r="M159" s="301">
        <v>0</v>
      </c>
      <c r="N159" s="302">
        <f t="shared" si="4"/>
        <v>544.94008759715859</v>
      </c>
      <c r="O159" s="301">
        <v>38157.65</v>
      </c>
      <c r="P159" s="301">
        <v>-610.38</v>
      </c>
      <c r="Q159" s="301">
        <v>325.2</v>
      </c>
      <c r="R159" s="301">
        <v>0</v>
      </c>
      <c r="S159" s="301">
        <v>6722.1</v>
      </c>
      <c r="T159" s="301">
        <v>4.3</v>
      </c>
      <c r="U159" s="301">
        <v>20111.099999999999</v>
      </c>
      <c r="V159" s="301">
        <v>0</v>
      </c>
      <c r="W159" s="302">
        <f t="shared" si="5"/>
        <v>484327.10008759721</v>
      </c>
      <c r="X159" s="301">
        <v>313</v>
      </c>
      <c r="Y159" s="301">
        <v>0</v>
      </c>
      <c r="Z159" s="303">
        <v>8.5000000000000006E-2</v>
      </c>
      <c r="AA159" s="301">
        <v>31</v>
      </c>
      <c r="AB159" s="301">
        <v>23</v>
      </c>
      <c r="AC159" s="301">
        <v>0</v>
      </c>
      <c r="AD159" s="301">
        <v>0</v>
      </c>
      <c r="AE159" s="301">
        <v>0</v>
      </c>
    </row>
    <row r="160" spans="1:31" x14ac:dyDescent="0.25">
      <c r="A160" s="148">
        <v>5665</v>
      </c>
      <c r="B160" s="293" t="s">
        <v>251</v>
      </c>
      <c r="C160" s="301">
        <v>229</v>
      </c>
      <c r="D160" s="304">
        <v>70</v>
      </c>
      <c r="E160" s="305">
        <v>1</v>
      </c>
      <c r="F160" s="300">
        <v>377176.22</v>
      </c>
      <c r="G160" s="301">
        <v>44148.45</v>
      </c>
      <c r="H160" s="301">
        <v>2076.25</v>
      </c>
      <c r="I160" s="301">
        <v>59.4</v>
      </c>
      <c r="J160" s="301"/>
      <c r="K160" s="301"/>
      <c r="L160" s="301">
        <v>-6607.48</v>
      </c>
      <c r="M160" s="301">
        <v>0</v>
      </c>
      <c r="N160" s="302">
        <f t="shared" si="4"/>
        <v>210.82974911267405</v>
      </c>
      <c r="O160" s="301">
        <v>30870.799999999999</v>
      </c>
      <c r="P160" s="301">
        <v>10725.07</v>
      </c>
      <c r="Q160" s="301">
        <v>54.5</v>
      </c>
      <c r="R160" s="301">
        <v>0</v>
      </c>
      <c r="S160" s="301">
        <v>4418.7</v>
      </c>
      <c r="T160" s="301"/>
      <c r="U160" s="301">
        <v>192.5</v>
      </c>
      <c r="V160" s="301">
        <v>0</v>
      </c>
      <c r="W160" s="302">
        <f t="shared" si="5"/>
        <v>463325.23974911269</v>
      </c>
      <c r="X160" s="301">
        <v>513</v>
      </c>
      <c r="Y160" s="301">
        <v>18</v>
      </c>
      <c r="Z160" s="303">
        <v>8.1000000000000003E-2</v>
      </c>
      <c r="AA160" s="301">
        <v>20</v>
      </c>
      <c r="AB160" s="301">
        <v>20</v>
      </c>
      <c r="AC160" s="301">
        <v>0</v>
      </c>
      <c r="AD160" s="301">
        <v>0</v>
      </c>
      <c r="AE160" s="301">
        <v>0</v>
      </c>
    </row>
    <row r="161" spans="1:31" x14ac:dyDescent="0.25">
      <c r="A161" s="148">
        <v>5669</v>
      </c>
      <c r="B161" s="293" t="s">
        <v>252</v>
      </c>
      <c r="C161" s="301">
        <v>308</v>
      </c>
      <c r="D161" s="304">
        <v>73</v>
      </c>
      <c r="E161" s="305">
        <v>0.5</v>
      </c>
      <c r="F161" s="300">
        <v>507882.57</v>
      </c>
      <c r="G161" s="301">
        <v>133949.88</v>
      </c>
      <c r="H161" s="301">
        <v>11760.65</v>
      </c>
      <c r="I161" s="301">
        <v>471</v>
      </c>
      <c r="J161" s="301"/>
      <c r="K161" s="301">
        <v>4718.57</v>
      </c>
      <c r="L161" s="301">
        <v>-6201.35</v>
      </c>
      <c r="M161" s="301">
        <v>0</v>
      </c>
      <c r="N161" s="302">
        <f t="shared" si="4"/>
        <v>1207.4992160391635</v>
      </c>
      <c r="O161" s="301">
        <v>25284</v>
      </c>
      <c r="P161" s="301">
        <v>-4523.49</v>
      </c>
      <c r="Q161" s="301">
        <v>255.9</v>
      </c>
      <c r="R161" s="301">
        <v>-47.7</v>
      </c>
      <c r="S161" s="301">
        <v>37945</v>
      </c>
      <c r="T161" s="301">
        <v>9630</v>
      </c>
      <c r="U161" s="301">
        <v>13575.75</v>
      </c>
      <c r="V161" s="301">
        <v>0</v>
      </c>
      <c r="W161" s="302">
        <f t="shared" si="5"/>
        <v>735908.27921603923</v>
      </c>
      <c r="X161" s="301">
        <v>494</v>
      </c>
      <c r="Y161" s="301">
        <v>0</v>
      </c>
      <c r="Z161" s="303">
        <v>0.10299999999999999</v>
      </c>
      <c r="AA161" s="301">
        <v>27</v>
      </c>
      <c r="AB161" s="301">
        <v>9</v>
      </c>
      <c r="AC161" s="301">
        <v>0</v>
      </c>
      <c r="AD161" s="301">
        <v>0</v>
      </c>
      <c r="AE161" s="301">
        <v>0</v>
      </c>
    </row>
    <row r="162" spans="1:31" x14ac:dyDescent="0.25">
      <c r="A162" s="148">
        <v>5671</v>
      </c>
      <c r="B162" s="293" t="s">
        <v>253</v>
      </c>
      <c r="C162" s="301">
        <v>240</v>
      </c>
      <c r="D162" s="304">
        <v>78</v>
      </c>
      <c r="E162" s="305">
        <v>1</v>
      </c>
      <c r="F162" s="300">
        <v>397391.7</v>
      </c>
      <c r="G162" s="301">
        <v>36746.660000000003</v>
      </c>
      <c r="H162" s="301">
        <v>-4249.1499999999996</v>
      </c>
      <c r="I162" s="301">
        <v>3275.2</v>
      </c>
      <c r="J162" s="301"/>
      <c r="K162" s="301">
        <v>1596.4</v>
      </c>
      <c r="L162" s="301">
        <v>-9746.84</v>
      </c>
      <c r="M162" s="301">
        <v>0</v>
      </c>
      <c r="N162" s="302">
        <f t="shared" si="4"/>
        <v>-96.147605716427705</v>
      </c>
      <c r="O162" s="301">
        <v>39136.699999999997</v>
      </c>
      <c r="P162" s="301">
        <v>8703.07</v>
      </c>
      <c r="Q162" s="301">
        <v>267</v>
      </c>
      <c r="R162" s="301">
        <v>0</v>
      </c>
      <c r="S162" s="301">
        <v>2311.8000000000002</v>
      </c>
      <c r="T162" s="301"/>
      <c r="U162" s="301">
        <v>1747.4</v>
      </c>
      <c r="V162" s="301">
        <v>0</v>
      </c>
      <c r="W162" s="302">
        <f t="shared" si="5"/>
        <v>477083.79239428358</v>
      </c>
      <c r="X162" s="301">
        <v>325</v>
      </c>
      <c r="Y162" s="301">
        <v>2</v>
      </c>
      <c r="Z162" s="303">
        <v>5.8000000000000003E-2</v>
      </c>
      <c r="AA162" s="301">
        <v>30</v>
      </c>
      <c r="AB162" s="301">
        <v>30</v>
      </c>
      <c r="AC162" s="301">
        <v>0</v>
      </c>
      <c r="AD162" s="301">
        <v>0</v>
      </c>
      <c r="AE162" s="301">
        <v>0</v>
      </c>
    </row>
    <row r="163" spans="1:31" x14ac:dyDescent="0.25">
      <c r="A163" s="148">
        <v>5673</v>
      </c>
      <c r="B163" s="293" t="s">
        <v>254</v>
      </c>
      <c r="C163" s="301">
        <v>373</v>
      </c>
      <c r="D163" s="304">
        <v>73.5</v>
      </c>
      <c r="E163" s="305">
        <v>0.6</v>
      </c>
      <c r="F163" s="300">
        <v>606899.81999999995</v>
      </c>
      <c r="G163" s="301">
        <v>80829.440000000002</v>
      </c>
      <c r="H163" s="301">
        <v>2268.6</v>
      </c>
      <c r="I163" s="301">
        <v>815.7</v>
      </c>
      <c r="J163" s="301"/>
      <c r="K163" s="301"/>
      <c r="L163" s="301">
        <v>-12987.47</v>
      </c>
      <c r="M163" s="301">
        <v>0</v>
      </c>
      <c r="N163" s="302">
        <f t="shared" si="4"/>
        <v>304.47975800726738</v>
      </c>
      <c r="O163" s="301">
        <v>30042.9</v>
      </c>
      <c r="P163" s="301">
        <v>5784.85</v>
      </c>
      <c r="Q163" s="301">
        <v>408</v>
      </c>
      <c r="R163" s="301">
        <v>-44.5</v>
      </c>
      <c r="S163" s="301">
        <v>16702.05</v>
      </c>
      <c r="T163" s="301">
        <v>10383.799999999999</v>
      </c>
      <c r="U163" s="301">
        <v>24389.599999999999</v>
      </c>
      <c r="V163" s="301">
        <v>11947.95</v>
      </c>
      <c r="W163" s="302">
        <f t="shared" si="5"/>
        <v>777745.21975800721</v>
      </c>
      <c r="X163" s="301">
        <v>478</v>
      </c>
      <c r="Y163" s="301">
        <v>55</v>
      </c>
      <c r="Z163" s="303">
        <v>0.156</v>
      </c>
      <c r="AA163" s="301">
        <v>36</v>
      </c>
      <c r="AB163" s="301">
        <v>36</v>
      </c>
      <c r="AC163" s="301">
        <v>0</v>
      </c>
      <c r="AD163" s="301">
        <v>0</v>
      </c>
      <c r="AE163" s="301">
        <v>0</v>
      </c>
    </row>
    <row r="164" spans="1:31" x14ac:dyDescent="0.25">
      <c r="A164" s="148">
        <v>5674</v>
      </c>
      <c r="B164" s="293" t="s">
        <v>255</v>
      </c>
      <c r="C164" s="301">
        <v>146</v>
      </c>
      <c r="D164" s="304">
        <v>75</v>
      </c>
      <c r="E164" s="305">
        <v>0.7</v>
      </c>
      <c r="F164" s="300">
        <v>265329.15999999997</v>
      </c>
      <c r="G164" s="301">
        <v>26096.5</v>
      </c>
      <c r="H164" s="301">
        <v>207.55</v>
      </c>
      <c r="I164" s="301">
        <v>196.8</v>
      </c>
      <c r="J164" s="301"/>
      <c r="K164" s="301">
        <v>983.85</v>
      </c>
      <c r="L164" s="301">
        <v>-1968.82</v>
      </c>
      <c r="M164" s="301">
        <v>0</v>
      </c>
      <c r="N164" s="302">
        <f t="shared" si="4"/>
        <v>39.917125490464144</v>
      </c>
      <c r="O164" s="301">
        <v>16113.85</v>
      </c>
      <c r="P164" s="301">
        <v>479.32</v>
      </c>
      <c r="Q164" s="301">
        <v>64.099999999999994</v>
      </c>
      <c r="R164" s="301">
        <v>-145.1</v>
      </c>
      <c r="S164" s="301">
        <v>3908.65</v>
      </c>
      <c r="T164" s="301">
        <v>2084.6999999999998</v>
      </c>
      <c r="U164" s="301"/>
      <c r="V164" s="301">
        <v>0</v>
      </c>
      <c r="W164" s="302">
        <f t="shared" si="5"/>
        <v>313390.47712549038</v>
      </c>
      <c r="X164" s="301">
        <v>347</v>
      </c>
      <c r="Y164" s="301">
        <v>11</v>
      </c>
      <c r="Z164" s="303">
        <v>8.8999999999999996E-2</v>
      </c>
      <c r="AA164" s="301">
        <v>15</v>
      </c>
      <c r="AB164" s="301">
        <v>15</v>
      </c>
      <c r="AC164" s="301">
        <v>0</v>
      </c>
      <c r="AD164" s="301">
        <v>0</v>
      </c>
      <c r="AE164" s="301">
        <v>0</v>
      </c>
    </row>
    <row r="165" spans="1:31" x14ac:dyDescent="0.25">
      <c r="A165" s="148">
        <v>5675</v>
      </c>
      <c r="B165" s="293" t="s">
        <v>256</v>
      </c>
      <c r="C165" s="301">
        <v>4734</v>
      </c>
      <c r="D165" s="304">
        <v>69.5</v>
      </c>
      <c r="E165" s="305">
        <v>1.1000000000000001</v>
      </c>
      <c r="F165" s="300">
        <v>4693072.7699999996</v>
      </c>
      <c r="G165" s="301">
        <v>640095.79</v>
      </c>
      <c r="H165" s="301">
        <v>295087.8</v>
      </c>
      <c r="I165" s="301">
        <v>28289.15</v>
      </c>
      <c r="J165" s="301"/>
      <c r="K165" s="301">
        <v>27495.8</v>
      </c>
      <c r="L165" s="301">
        <v>-147515.85</v>
      </c>
      <c r="M165" s="301">
        <v>-433</v>
      </c>
      <c r="N165" s="302">
        <f t="shared" si="4"/>
        <v>31923.527374486333</v>
      </c>
      <c r="O165" s="301">
        <v>791799.55</v>
      </c>
      <c r="P165" s="301">
        <v>321167.15000000002</v>
      </c>
      <c r="Q165" s="301">
        <v>82770.850000000006</v>
      </c>
      <c r="R165" s="301">
        <v>-4439.3</v>
      </c>
      <c r="S165" s="301">
        <v>721178.85</v>
      </c>
      <c r="T165" s="301">
        <v>390655.6</v>
      </c>
      <c r="U165" s="301">
        <v>217618.95</v>
      </c>
      <c r="V165" s="301">
        <v>28361.3</v>
      </c>
      <c r="W165" s="302">
        <f t="shared" si="5"/>
        <v>8117128.9373744857</v>
      </c>
      <c r="X165" s="301">
        <v>1907</v>
      </c>
      <c r="Y165" s="301">
        <v>146</v>
      </c>
      <c r="Z165" s="303">
        <v>0.14499999999999999</v>
      </c>
      <c r="AA165" s="301">
        <v>645</v>
      </c>
      <c r="AB165" s="301">
        <v>233</v>
      </c>
      <c r="AC165" s="301">
        <v>0</v>
      </c>
      <c r="AD165" s="301">
        <v>0</v>
      </c>
      <c r="AE165" s="301">
        <v>0</v>
      </c>
    </row>
    <row r="166" spans="1:31" x14ac:dyDescent="0.25">
      <c r="A166" s="148">
        <v>5678</v>
      </c>
      <c r="B166" s="293" t="s">
        <v>257</v>
      </c>
      <c r="C166" s="301">
        <v>6651</v>
      </c>
      <c r="D166" s="304">
        <v>72.5</v>
      </c>
      <c r="E166" s="305">
        <v>1</v>
      </c>
      <c r="F166" s="300">
        <v>7716365.1699999999</v>
      </c>
      <c r="G166" s="301">
        <v>845067.95</v>
      </c>
      <c r="H166" s="301">
        <v>704362.25</v>
      </c>
      <c r="I166" s="301">
        <v>29539.95</v>
      </c>
      <c r="J166" s="301"/>
      <c r="K166" s="301">
        <v>89255</v>
      </c>
      <c r="L166" s="301">
        <v>-590882.02</v>
      </c>
      <c r="M166" s="301">
        <v>-174867</v>
      </c>
      <c r="N166" s="302">
        <f t="shared" si="4"/>
        <v>72450.26886392411</v>
      </c>
      <c r="O166" s="301">
        <v>946375.75</v>
      </c>
      <c r="P166" s="301">
        <v>531327.39</v>
      </c>
      <c r="Q166" s="301">
        <v>102426.75</v>
      </c>
      <c r="R166" s="301">
        <v>-5506.68</v>
      </c>
      <c r="S166" s="301">
        <v>796538.45</v>
      </c>
      <c r="T166" s="301">
        <v>256457.3</v>
      </c>
      <c r="U166" s="301">
        <v>311601.75</v>
      </c>
      <c r="V166" s="301">
        <v>234496.25</v>
      </c>
      <c r="W166" s="302">
        <f t="shared" si="5"/>
        <v>11865008.528863924</v>
      </c>
      <c r="X166" s="301">
        <v>1539</v>
      </c>
      <c r="Y166" s="301">
        <v>24</v>
      </c>
      <c r="Z166" s="303">
        <v>0.25600000000000001</v>
      </c>
      <c r="AA166" s="301">
        <v>1011</v>
      </c>
      <c r="AB166" s="301">
        <v>30</v>
      </c>
      <c r="AC166" s="301">
        <v>0</v>
      </c>
      <c r="AD166" s="301">
        <v>0</v>
      </c>
      <c r="AE166" s="301">
        <v>0</v>
      </c>
    </row>
    <row r="167" spans="1:31" x14ac:dyDescent="0.25">
      <c r="A167" s="148">
        <v>5680</v>
      </c>
      <c r="B167" s="293" t="s">
        <v>258</v>
      </c>
      <c r="C167" s="301">
        <v>341</v>
      </c>
      <c r="D167" s="304">
        <v>78</v>
      </c>
      <c r="E167" s="305">
        <v>1.5</v>
      </c>
      <c r="F167" s="300">
        <v>525836.01</v>
      </c>
      <c r="G167" s="301">
        <v>85065.14</v>
      </c>
      <c r="H167" s="301">
        <v>26544</v>
      </c>
      <c r="I167" s="301">
        <v>3747.5</v>
      </c>
      <c r="J167" s="301"/>
      <c r="K167" s="301">
        <v>255.18</v>
      </c>
      <c r="L167" s="301">
        <v>-4218</v>
      </c>
      <c r="M167" s="301">
        <v>-67</v>
      </c>
      <c r="N167" s="302">
        <f t="shared" si="4"/>
        <v>2990.3539181263623</v>
      </c>
      <c r="O167" s="301">
        <v>94304.8</v>
      </c>
      <c r="P167" s="301">
        <v>1595.03</v>
      </c>
      <c r="Q167" s="301">
        <v>4302.95</v>
      </c>
      <c r="R167" s="301">
        <v>0.01</v>
      </c>
      <c r="S167" s="301">
        <v>138.05000000000001</v>
      </c>
      <c r="T167" s="301">
        <v>7775.8</v>
      </c>
      <c r="U167" s="301">
        <v>290.14999999999998</v>
      </c>
      <c r="V167" s="301">
        <v>0</v>
      </c>
      <c r="W167" s="302">
        <f t="shared" si="5"/>
        <v>748559.97391812655</v>
      </c>
      <c r="X167" s="301">
        <v>337</v>
      </c>
      <c r="Y167" s="301">
        <v>0</v>
      </c>
      <c r="Z167" s="303">
        <v>0.16900000000000001</v>
      </c>
      <c r="AA167" s="301">
        <v>61</v>
      </c>
      <c r="AB167" s="301">
        <v>60</v>
      </c>
      <c r="AC167" s="301">
        <v>0</v>
      </c>
      <c r="AD167" s="301">
        <v>0</v>
      </c>
      <c r="AE167" s="301">
        <v>0</v>
      </c>
    </row>
    <row r="168" spans="1:31" x14ac:dyDescent="0.25">
      <c r="A168" s="148">
        <v>5683</v>
      </c>
      <c r="B168" s="293" t="s">
        <v>259</v>
      </c>
      <c r="C168" s="301">
        <v>231</v>
      </c>
      <c r="D168" s="304">
        <v>72.5</v>
      </c>
      <c r="E168" s="305">
        <v>1</v>
      </c>
      <c r="F168" s="300">
        <v>178689.7</v>
      </c>
      <c r="G168" s="301">
        <v>23634.06</v>
      </c>
      <c r="H168" s="301">
        <v>4230.3</v>
      </c>
      <c r="I168" s="301">
        <v>821.9</v>
      </c>
      <c r="J168" s="301"/>
      <c r="K168" s="301">
        <v>330.95</v>
      </c>
      <c r="L168" s="301">
        <v>-7232.93</v>
      </c>
      <c r="M168" s="301">
        <v>-2650</v>
      </c>
      <c r="N168" s="302">
        <f t="shared" si="4"/>
        <v>498.7493542795176</v>
      </c>
      <c r="O168" s="301">
        <v>34391.050000000003</v>
      </c>
      <c r="P168" s="301">
        <v>7917.69</v>
      </c>
      <c r="Q168" s="301">
        <v>2570.5</v>
      </c>
      <c r="R168" s="301">
        <v>0</v>
      </c>
      <c r="S168" s="301">
        <v>35586.1</v>
      </c>
      <c r="T168" s="301">
        <v>41994.5</v>
      </c>
      <c r="U168" s="301">
        <v>65312.05</v>
      </c>
      <c r="V168" s="301">
        <v>627.1</v>
      </c>
      <c r="W168" s="302">
        <f t="shared" si="5"/>
        <v>386721.71935427946</v>
      </c>
      <c r="X168" s="301">
        <v>181</v>
      </c>
      <c r="Y168" s="301">
        <v>231</v>
      </c>
      <c r="Z168" s="303">
        <v>5.0000000000000001E-3</v>
      </c>
      <c r="AA168" s="301">
        <v>29</v>
      </c>
      <c r="AB168" s="301">
        <v>29</v>
      </c>
      <c r="AC168" s="301">
        <v>0</v>
      </c>
      <c r="AD168" s="301">
        <v>0</v>
      </c>
      <c r="AE168" s="301">
        <v>0</v>
      </c>
    </row>
    <row r="169" spans="1:31" x14ac:dyDescent="0.25">
      <c r="A169" s="148">
        <v>5684</v>
      </c>
      <c r="B169" s="293" t="s">
        <v>260</v>
      </c>
      <c r="C169" s="301">
        <v>90</v>
      </c>
      <c r="D169" s="304">
        <v>65</v>
      </c>
      <c r="E169" s="305">
        <v>0.8</v>
      </c>
      <c r="F169" s="453">
        <f>485214.47-363000</f>
        <v>122214.46999999997</v>
      </c>
      <c r="G169" s="301">
        <v>145147.76999999999</v>
      </c>
      <c r="H169" s="301">
        <v>1863.2</v>
      </c>
      <c r="I169" s="301">
        <v>7.8</v>
      </c>
      <c r="J169" s="301"/>
      <c r="K169" s="301"/>
      <c r="L169" s="301">
        <v>-24.06</v>
      </c>
      <c r="M169" s="301">
        <v>0</v>
      </c>
      <c r="N169" s="302">
        <f t="shared" si="4"/>
        <v>184.7037017253825</v>
      </c>
      <c r="O169" s="301">
        <v>10912.5</v>
      </c>
      <c r="P169" s="301">
        <v>10299.94</v>
      </c>
      <c r="Q169" s="301"/>
      <c r="R169" s="301">
        <v>0</v>
      </c>
      <c r="S169" s="301">
        <v>38.5</v>
      </c>
      <c r="T169" s="301"/>
      <c r="U169" s="301"/>
      <c r="V169" s="301">
        <v>0</v>
      </c>
      <c r="W169" s="302">
        <f t="shared" si="5"/>
        <v>290644.8237017254</v>
      </c>
      <c r="X169" s="301">
        <v>106</v>
      </c>
      <c r="Y169" s="301">
        <v>0</v>
      </c>
      <c r="Z169" s="303">
        <v>6.3E-2</v>
      </c>
      <c r="AA169" s="301">
        <v>6</v>
      </c>
      <c r="AB169" s="301">
        <v>6</v>
      </c>
      <c r="AC169" s="301">
        <v>0</v>
      </c>
      <c r="AD169" s="301">
        <v>0</v>
      </c>
      <c r="AE169" s="301">
        <v>0</v>
      </c>
    </row>
    <row r="170" spans="1:31" x14ac:dyDescent="0.25">
      <c r="A170" s="148">
        <v>5688</v>
      </c>
      <c r="B170" s="293" t="s">
        <v>261</v>
      </c>
      <c r="C170" s="301">
        <v>151</v>
      </c>
      <c r="D170" s="304">
        <v>65</v>
      </c>
      <c r="E170" s="305">
        <v>1</v>
      </c>
      <c r="F170" s="300">
        <v>260854.31</v>
      </c>
      <c r="G170" s="301">
        <v>48257.36</v>
      </c>
      <c r="H170" s="301">
        <v>-1972.6</v>
      </c>
      <c r="I170" s="301">
        <v>489.95</v>
      </c>
      <c r="J170" s="301"/>
      <c r="K170" s="301"/>
      <c r="L170" s="301">
        <v>-4834.29</v>
      </c>
      <c r="M170" s="301">
        <v>0</v>
      </c>
      <c r="N170" s="302">
        <f t="shared" si="4"/>
        <v>-146.36608410643416</v>
      </c>
      <c r="O170" s="301">
        <v>25641</v>
      </c>
      <c r="P170" s="301">
        <v>6988.15</v>
      </c>
      <c r="Q170" s="301">
        <v>105</v>
      </c>
      <c r="R170" s="301">
        <v>-34.25</v>
      </c>
      <c r="S170" s="301">
        <v>28810.15</v>
      </c>
      <c r="T170" s="301">
        <v>1634.4</v>
      </c>
      <c r="U170" s="301"/>
      <c r="V170" s="301">
        <v>0</v>
      </c>
      <c r="W170" s="302">
        <f t="shared" si="5"/>
        <v>365792.81391589367</v>
      </c>
      <c r="X170" s="301">
        <v>251</v>
      </c>
      <c r="Y170" s="301">
        <v>0</v>
      </c>
      <c r="Z170" s="303">
        <v>0.21199999999999999</v>
      </c>
      <c r="AA170" s="301">
        <v>16</v>
      </c>
      <c r="AB170" s="301">
        <v>16</v>
      </c>
      <c r="AC170" s="301">
        <v>0</v>
      </c>
      <c r="AD170" s="301">
        <v>0</v>
      </c>
      <c r="AE170" s="301">
        <v>0</v>
      </c>
    </row>
    <row r="171" spans="1:31" x14ac:dyDescent="0.25">
      <c r="A171" s="148">
        <v>5690</v>
      </c>
      <c r="B171" s="293" t="s">
        <v>262</v>
      </c>
      <c r="C171" s="301">
        <v>132</v>
      </c>
      <c r="D171" s="304">
        <v>68</v>
      </c>
      <c r="E171" s="305">
        <v>1</v>
      </c>
      <c r="F171" s="300">
        <v>214596.89</v>
      </c>
      <c r="G171" s="301">
        <v>41126.6</v>
      </c>
      <c r="H171" s="301">
        <v>950.45</v>
      </c>
      <c r="I171" s="301">
        <v>214.4</v>
      </c>
      <c r="J171" s="301"/>
      <c r="K171" s="301"/>
      <c r="L171" s="301">
        <v>-33.69</v>
      </c>
      <c r="M171" s="301">
        <v>0</v>
      </c>
      <c r="N171" s="302">
        <f t="shared" si="4"/>
        <v>114.993109008451</v>
      </c>
      <c r="O171" s="301">
        <v>23301.3</v>
      </c>
      <c r="P171" s="301">
        <v>6972.1</v>
      </c>
      <c r="Q171" s="301">
        <v>184.1</v>
      </c>
      <c r="R171" s="301">
        <v>0</v>
      </c>
      <c r="S171" s="301">
        <v>16256.8</v>
      </c>
      <c r="T171" s="301">
        <v>63.5</v>
      </c>
      <c r="U171" s="301">
        <v>21448.799999999999</v>
      </c>
      <c r="V171" s="301">
        <v>0</v>
      </c>
      <c r="W171" s="302">
        <f t="shared" si="5"/>
        <v>325196.24310900841</v>
      </c>
      <c r="X171" s="301">
        <v>419</v>
      </c>
      <c r="Y171" s="301">
        <v>127</v>
      </c>
      <c r="Z171" s="303">
        <v>4.2000000000000003E-2</v>
      </c>
      <c r="AA171" s="301">
        <v>13</v>
      </c>
      <c r="AB171" s="301">
        <v>13</v>
      </c>
      <c r="AC171" s="301">
        <v>0</v>
      </c>
      <c r="AD171" s="301">
        <v>0</v>
      </c>
      <c r="AE171" s="301">
        <v>0</v>
      </c>
    </row>
    <row r="172" spans="1:31" x14ac:dyDescent="0.25">
      <c r="A172" s="148">
        <v>5692</v>
      </c>
      <c r="B172" s="293" t="s">
        <v>263</v>
      </c>
      <c r="C172" s="301">
        <v>622</v>
      </c>
      <c r="D172" s="304">
        <v>75</v>
      </c>
      <c r="E172" s="305">
        <v>1</v>
      </c>
      <c r="F172" s="300">
        <v>1189146.47</v>
      </c>
      <c r="G172" s="301">
        <v>125290.47</v>
      </c>
      <c r="H172" s="301">
        <v>8411.5</v>
      </c>
      <c r="I172" s="301">
        <v>5476.1</v>
      </c>
      <c r="J172" s="301"/>
      <c r="K172" s="301">
        <v>6993.47</v>
      </c>
      <c r="L172" s="301">
        <v>-8063.58</v>
      </c>
      <c r="M172" s="301">
        <v>-1750</v>
      </c>
      <c r="N172" s="302">
        <f t="shared" si="4"/>
        <v>1370.9733447789536</v>
      </c>
      <c r="O172" s="301">
        <v>116833</v>
      </c>
      <c r="P172" s="301">
        <v>13874.41</v>
      </c>
      <c r="Q172" s="301">
        <v>4766.5</v>
      </c>
      <c r="R172" s="301">
        <v>0</v>
      </c>
      <c r="S172" s="301">
        <v>64150.6</v>
      </c>
      <c r="T172" s="301"/>
      <c r="U172" s="301">
        <v>64147.65</v>
      </c>
      <c r="V172" s="301">
        <v>32816.6</v>
      </c>
      <c r="W172" s="302">
        <f t="shared" si="5"/>
        <v>1623464.1633447788</v>
      </c>
      <c r="X172" s="301">
        <v>323</v>
      </c>
      <c r="Y172" s="301">
        <v>119</v>
      </c>
      <c r="Z172" s="303">
        <v>0.14699999999999999</v>
      </c>
      <c r="AA172" s="301">
        <v>92</v>
      </c>
      <c r="AB172" s="301">
        <v>80</v>
      </c>
      <c r="AC172" s="301">
        <v>0</v>
      </c>
      <c r="AD172" s="301">
        <v>0</v>
      </c>
      <c r="AE172" s="301">
        <v>0</v>
      </c>
    </row>
    <row r="173" spans="1:31" x14ac:dyDescent="0.25">
      <c r="A173" s="148">
        <v>5693</v>
      </c>
      <c r="B173" s="293" t="s">
        <v>264</v>
      </c>
      <c r="C173" s="301">
        <v>2861</v>
      </c>
      <c r="D173" s="304">
        <v>70</v>
      </c>
      <c r="E173" s="305">
        <v>1</v>
      </c>
      <c r="F173" s="300">
        <v>4294076.6100000003</v>
      </c>
      <c r="G173" s="301">
        <v>576424.84</v>
      </c>
      <c r="H173" s="301">
        <v>92074.45</v>
      </c>
      <c r="I173" s="301">
        <v>5624.4</v>
      </c>
      <c r="J173" s="301"/>
      <c r="K173" s="301">
        <v>4958.42</v>
      </c>
      <c r="L173" s="301">
        <v>-130106.78</v>
      </c>
      <c r="M173" s="301">
        <v>-250</v>
      </c>
      <c r="N173" s="302">
        <f t="shared" si="4"/>
        <v>9644.7564133152773</v>
      </c>
      <c r="O173" s="301">
        <v>462741.05</v>
      </c>
      <c r="P173" s="301">
        <v>76162.559999999998</v>
      </c>
      <c r="Q173" s="301">
        <v>13973.8</v>
      </c>
      <c r="R173" s="301">
        <v>-337.6</v>
      </c>
      <c r="S173" s="301">
        <v>172387.9</v>
      </c>
      <c r="T173" s="301">
        <v>8819.7000000000007</v>
      </c>
      <c r="U173" s="301">
        <v>240871.05</v>
      </c>
      <c r="V173" s="301">
        <v>98479.6</v>
      </c>
      <c r="W173" s="302">
        <f t="shared" si="5"/>
        <v>5925544.7564133154</v>
      </c>
      <c r="X173" s="301">
        <v>3342</v>
      </c>
      <c r="Y173" s="301">
        <v>2598</v>
      </c>
      <c r="Z173" s="303">
        <v>6.7000000000000004E-2</v>
      </c>
      <c r="AA173" s="301">
        <v>380</v>
      </c>
      <c r="AB173" s="301">
        <v>251</v>
      </c>
      <c r="AC173" s="301">
        <v>0</v>
      </c>
      <c r="AD173" s="301">
        <v>0</v>
      </c>
      <c r="AE173" s="301">
        <v>0</v>
      </c>
    </row>
    <row r="174" spans="1:31" x14ac:dyDescent="0.25">
      <c r="A174" s="148">
        <v>5701</v>
      </c>
      <c r="B174" s="293" t="s">
        <v>265</v>
      </c>
      <c r="C174" s="301">
        <v>267</v>
      </c>
      <c r="D174" s="304">
        <v>68</v>
      </c>
      <c r="E174" s="305">
        <v>1</v>
      </c>
      <c r="F174" s="453">
        <f>907224.71-200000</f>
        <v>707224.71</v>
      </c>
      <c r="G174" s="301">
        <v>134792.84</v>
      </c>
      <c r="H174" s="301">
        <v>6186.5</v>
      </c>
      <c r="I174" s="301">
        <v>428.75</v>
      </c>
      <c r="J174" s="452">
        <f>372035.85-230000</f>
        <v>142035.84999999998</v>
      </c>
      <c r="K174" s="301"/>
      <c r="L174" s="301">
        <v>-11.77</v>
      </c>
      <c r="M174" s="301">
        <v>0</v>
      </c>
      <c r="N174" s="302">
        <f t="shared" si="4"/>
        <v>653.05246544031888</v>
      </c>
      <c r="O174" s="301">
        <v>83354.600000000006</v>
      </c>
      <c r="P174" s="301">
        <v>26005.42</v>
      </c>
      <c r="Q174" s="301">
        <v>3411.75</v>
      </c>
      <c r="R174" s="301">
        <v>-2165.15</v>
      </c>
      <c r="S174" s="301">
        <v>105767.45</v>
      </c>
      <c r="T174" s="301"/>
      <c r="U174" s="301">
        <v>61338.45</v>
      </c>
      <c r="V174" s="301">
        <v>1738.6</v>
      </c>
      <c r="W174" s="302">
        <f t="shared" si="5"/>
        <v>1270761.0524654402</v>
      </c>
      <c r="X174" s="301">
        <v>208</v>
      </c>
      <c r="Y174" s="301">
        <v>0</v>
      </c>
      <c r="Z174" s="303">
        <v>2.9000000000000001E-2</v>
      </c>
      <c r="AA174" s="301">
        <v>21</v>
      </c>
      <c r="AB174" s="301">
        <v>5</v>
      </c>
      <c r="AC174" s="301">
        <v>0</v>
      </c>
      <c r="AD174" s="301">
        <v>0</v>
      </c>
      <c r="AE174" s="301">
        <v>0</v>
      </c>
    </row>
    <row r="175" spans="1:31" x14ac:dyDescent="0.25">
      <c r="A175" s="148">
        <v>5702</v>
      </c>
      <c r="B175" s="293" t="s">
        <v>266</v>
      </c>
      <c r="C175" s="301">
        <v>2968</v>
      </c>
      <c r="D175" s="304">
        <v>64</v>
      </c>
      <c r="E175" s="305">
        <v>1.5</v>
      </c>
      <c r="F175" s="300">
        <v>8988086.3499999996</v>
      </c>
      <c r="G175" s="301">
        <v>1750367.54</v>
      </c>
      <c r="H175" s="301">
        <v>52246.65</v>
      </c>
      <c r="I175" s="301">
        <v>21793.15</v>
      </c>
      <c r="J175" s="301">
        <v>435712.35</v>
      </c>
      <c r="K175" s="301">
        <v>26656.29</v>
      </c>
      <c r="L175" s="301">
        <v>-58357.94</v>
      </c>
      <c r="M175" s="301">
        <v>-1000</v>
      </c>
      <c r="N175" s="302">
        <f t="shared" si="4"/>
        <v>7309.1529315911148</v>
      </c>
      <c r="O175" s="301">
        <v>1367412.25</v>
      </c>
      <c r="P175" s="301">
        <v>-19918.169999999998</v>
      </c>
      <c r="Q175" s="301">
        <v>21049.55</v>
      </c>
      <c r="R175" s="301">
        <v>-32126.2</v>
      </c>
      <c r="S175" s="301">
        <v>389048.45</v>
      </c>
      <c r="T175" s="301">
        <v>44395.1</v>
      </c>
      <c r="U175" s="301">
        <v>601818.5</v>
      </c>
      <c r="V175" s="301">
        <v>92530.6</v>
      </c>
      <c r="W175" s="302">
        <f t="shared" si="5"/>
        <v>13687023.622931592</v>
      </c>
      <c r="X175" s="301">
        <v>5165</v>
      </c>
      <c r="Y175" s="301">
        <v>2398</v>
      </c>
      <c r="Z175" s="303">
        <v>0.251</v>
      </c>
      <c r="AA175" s="301">
        <v>381</v>
      </c>
      <c r="AB175" s="301">
        <v>169</v>
      </c>
      <c r="AC175" s="301">
        <v>0</v>
      </c>
      <c r="AD175" s="301">
        <v>0</v>
      </c>
      <c r="AE175" s="301">
        <v>0</v>
      </c>
    </row>
    <row r="176" spans="1:31" x14ac:dyDescent="0.25">
      <c r="A176" s="148">
        <v>5703</v>
      </c>
      <c r="B176" s="293" t="s">
        <v>412</v>
      </c>
      <c r="C176" s="301">
        <v>1484</v>
      </c>
      <c r="D176" s="304">
        <v>72.5</v>
      </c>
      <c r="E176" s="305">
        <v>1.4</v>
      </c>
      <c r="F176" s="300">
        <v>4247626.71</v>
      </c>
      <c r="G176" s="301">
        <v>548427.98</v>
      </c>
      <c r="H176" s="301">
        <v>27643.5</v>
      </c>
      <c r="I176" s="301">
        <v>2188.3000000000002</v>
      </c>
      <c r="J176" s="301"/>
      <c r="K176" s="301"/>
      <c r="L176" s="301">
        <v>-34058.879999999997</v>
      </c>
      <c r="M176" s="301">
        <v>0</v>
      </c>
      <c r="N176" s="302">
        <f t="shared" si="4"/>
        <v>2944.9726825928728</v>
      </c>
      <c r="O176" s="301">
        <v>503011.85</v>
      </c>
      <c r="P176" s="301">
        <v>-89564.75</v>
      </c>
      <c r="Q176" s="301">
        <v>4291.75</v>
      </c>
      <c r="R176" s="301">
        <v>-2108.19</v>
      </c>
      <c r="S176" s="301">
        <v>142664.5</v>
      </c>
      <c r="T176" s="301"/>
      <c r="U176" s="301">
        <v>141489.95000000001</v>
      </c>
      <c r="V176" s="301">
        <v>24696.400000000001</v>
      </c>
      <c r="W176" s="302">
        <f t="shared" si="5"/>
        <v>5519254.0926825916</v>
      </c>
      <c r="X176" s="301">
        <v>2078</v>
      </c>
      <c r="Y176" s="301">
        <v>1202</v>
      </c>
      <c r="Z176" s="303">
        <v>0.20699999999999999</v>
      </c>
      <c r="AA176" s="301">
        <v>159</v>
      </c>
      <c r="AB176" s="301">
        <v>65</v>
      </c>
      <c r="AC176" s="301">
        <v>0</v>
      </c>
      <c r="AD176" s="301">
        <v>0</v>
      </c>
      <c r="AE176" s="301">
        <v>0</v>
      </c>
    </row>
    <row r="177" spans="1:31" x14ac:dyDescent="0.25">
      <c r="A177" s="148">
        <v>5704</v>
      </c>
      <c r="B177" s="293" t="s">
        <v>267</v>
      </c>
      <c r="C177" s="301">
        <v>2041</v>
      </c>
      <c r="D177" s="304">
        <v>62.5</v>
      </c>
      <c r="E177" s="305">
        <v>1.5</v>
      </c>
      <c r="F177" s="300">
        <v>6804515.7199999997</v>
      </c>
      <c r="G177" s="301">
        <v>1660000.8</v>
      </c>
      <c r="H177" s="301">
        <v>94599</v>
      </c>
      <c r="I177" s="301">
        <v>3818.55</v>
      </c>
      <c r="J177" s="301">
        <v>322864.90000000002</v>
      </c>
      <c r="K177" s="301">
        <v>8290.31</v>
      </c>
      <c r="L177" s="301">
        <v>-13825.91</v>
      </c>
      <c r="M177" s="301">
        <v>-2300</v>
      </c>
      <c r="N177" s="302">
        <f t="shared" si="4"/>
        <v>9715.7059325189293</v>
      </c>
      <c r="O177" s="301">
        <v>880315.3</v>
      </c>
      <c r="P177" s="301">
        <v>116899.97</v>
      </c>
      <c r="Q177" s="301">
        <v>22991.55</v>
      </c>
      <c r="R177" s="301">
        <v>-133859.53</v>
      </c>
      <c r="S177" s="301">
        <v>257227.9</v>
      </c>
      <c r="T177" s="301">
        <v>27006.799999999999</v>
      </c>
      <c r="U177" s="301">
        <v>167298.54999999999</v>
      </c>
      <c r="V177" s="301">
        <v>43903.1</v>
      </c>
      <c r="W177" s="302">
        <f t="shared" si="5"/>
        <v>10269462.715932524</v>
      </c>
      <c r="X177" s="301">
        <v>478</v>
      </c>
      <c r="Y177" s="301">
        <v>2</v>
      </c>
      <c r="Z177" s="303">
        <v>0.126</v>
      </c>
      <c r="AA177" s="301">
        <v>201</v>
      </c>
      <c r="AB177" s="301">
        <v>43</v>
      </c>
      <c r="AC177" s="301">
        <v>0</v>
      </c>
      <c r="AD177" s="301">
        <v>0</v>
      </c>
      <c r="AE177" s="301">
        <v>0</v>
      </c>
    </row>
    <row r="178" spans="1:31" x14ac:dyDescent="0.25">
      <c r="A178" s="148">
        <v>5705</v>
      </c>
      <c r="B178" s="293" t="s">
        <v>268</v>
      </c>
      <c r="C178" s="301">
        <v>990</v>
      </c>
      <c r="D178" s="304">
        <v>71</v>
      </c>
      <c r="E178" s="305">
        <v>1</v>
      </c>
      <c r="F178" s="300">
        <v>3585931.12</v>
      </c>
      <c r="G178" s="301">
        <v>419709.51</v>
      </c>
      <c r="H178" s="301">
        <v>63773.1</v>
      </c>
      <c r="I178" s="301">
        <v>7878.25</v>
      </c>
      <c r="J178" s="301">
        <v>0</v>
      </c>
      <c r="K178" s="301">
        <v>2983.89</v>
      </c>
      <c r="L178" s="301">
        <v>-36575.89</v>
      </c>
      <c r="M178" s="301">
        <v>-13700</v>
      </c>
      <c r="N178" s="302">
        <f t="shared" si="4"/>
        <v>7073.3669581084905</v>
      </c>
      <c r="O178" s="301">
        <v>253195.9</v>
      </c>
      <c r="P178" s="301">
        <v>-27121.08</v>
      </c>
      <c r="Q178" s="301">
        <v>5685.75</v>
      </c>
      <c r="R178" s="301">
        <v>-7443.9</v>
      </c>
      <c r="S178" s="301">
        <v>93614.65</v>
      </c>
      <c r="T178" s="301">
        <v>58039.8</v>
      </c>
      <c r="U178" s="301">
        <v>242502.15</v>
      </c>
      <c r="V178" s="301">
        <v>50676.5</v>
      </c>
      <c r="W178" s="302">
        <f t="shared" si="5"/>
        <v>4706223.1169581087</v>
      </c>
      <c r="X178" s="301">
        <v>242</v>
      </c>
      <c r="Y178" s="301">
        <v>0</v>
      </c>
      <c r="Z178" s="303">
        <v>8.9999999999999993E-3</v>
      </c>
      <c r="AA178" s="301">
        <v>120</v>
      </c>
      <c r="AB178" s="301">
        <v>76</v>
      </c>
      <c r="AC178" s="301">
        <v>0</v>
      </c>
      <c r="AD178" s="301">
        <v>0</v>
      </c>
      <c r="AE178" s="301">
        <v>0</v>
      </c>
    </row>
    <row r="179" spans="1:31" x14ac:dyDescent="0.25">
      <c r="A179" s="148">
        <v>5706</v>
      </c>
      <c r="B179" s="293" t="s">
        <v>269</v>
      </c>
      <c r="C179" s="301">
        <v>1144</v>
      </c>
      <c r="D179" s="304">
        <v>57</v>
      </c>
      <c r="E179" s="305">
        <v>1.5</v>
      </c>
      <c r="F179" s="300">
        <v>3033579.59</v>
      </c>
      <c r="G179" s="301">
        <v>570776.16</v>
      </c>
      <c r="H179" s="301">
        <v>16576.099999999999</v>
      </c>
      <c r="I179" s="301">
        <v>518.9</v>
      </c>
      <c r="J179" s="301">
        <v>48123.1</v>
      </c>
      <c r="K179" s="301">
        <v>150.63</v>
      </c>
      <c r="L179" s="301">
        <v>-26471.85</v>
      </c>
      <c r="M179" s="301">
        <v>-54000</v>
      </c>
      <c r="N179" s="302">
        <f t="shared" si="4"/>
        <v>1687.6054414726957</v>
      </c>
      <c r="O179" s="301">
        <v>454607.1</v>
      </c>
      <c r="P179" s="301">
        <v>24601.72</v>
      </c>
      <c r="Q179" s="301">
        <v>10749.05</v>
      </c>
      <c r="R179" s="301">
        <v>-40928.550000000003</v>
      </c>
      <c r="S179" s="301">
        <v>149554.6</v>
      </c>
      <c r="T179" s="301">
        <v>72500</v>
      </c>
      <c r="U179" s="301">
        <v>175080</v>
      </c>
      <c r="V179" s="301">
        <v>8706.7999999999993</v>
      </c>
      <c r="W179" s="302">
        <f t="shared" si="5"/>
        <v>4445810.9554414721</v>
      </c>
      <c r="X179" s="301">
        <v>196</v>
      </c>
      <c r="Y179" s="301">
        <v>0</v>
      </c>
      <c r="Z179" s="303">
        <v>0.01</v>
      </c>
      <c r="AA179" s="301">
        <v>134</v>
      </c>
      <c r="AB179" s="301">
        <v>64</v>
      </c>
      <c r="AC179" s="301">
        <v>0</v>
      </c>
      <c r="AD179" s="301">
        <v>0</v>
      </c>
      <c r="AE179" s="301">
        <v>0</v>
      </c>
    </row>
    <row r="180" spans="1:31" x14ac:dyDescent="0.25">
      <c r="A180" s="148">
        <v>5707</v>
      </c>
      <c r="B180" s="293" t="s">
        <v>270</v>
      </c>
      <c r="C180" s="301">
        <v>1388</v>
      </c>
      <c r="D180" s="304">
        <v>58</v>
      </c>
      <c r="E180" s="305">
        <v>1.5</v>
      </c>
      <c r="F180" s="300">
        <v>3787246.79</v>
      </c>
      <c r="G180" s="301">
        <v>602809.36</v>
      </c>
      <c r="H180" s="301">
        <v>676891</v>
      </c>
      <c r="I180" s="301">
        <v>19334.400000000001</v>
      </c>
      <c r="J180" s="301">
        <v>34191</v>
      </c>
      <c r="K180" s="301">
        <v>2859.79</v>
      </c>
      <c r="L180" s="301">
        <v>-8933.8700000000008</v>
      </c>
      <c r="M180" s="301">
        <v>-2316.66</v>
      </c>
      <c r="N180" s="302">
        <f t="shared" si="4"/>
        <v>68730.843728078631</v>
      </c>
      <c r="O180" s="301">
        <v>785673.8</v>
      </c>
      <c r="P180" s="301">
        <v>50425.27</v>
      </c>
      <c r="Q180" s="301">
        <v>68910.05</v>
      </c>
      <c r="R180" s="301">
        <v>-6138.9</v>
      </c>
      <c r="S180" s="301">
        <v>109564</v>
      </c>
      <c r="T180" s="301"/>
      <c r="U180" s="301">
        <v>153781.6</v>
      </c>
      <c r="V180" s="301">
        <v>685460.6</v>
      </c>
      <c r="W180" s="302">
        <f t="shared" si="5"/>
        <v>7028489.0737280771</v>
      </c>
      <c r="X180" s="301">
        <v>274</v>
      </c>
      <c r="Y180" s="301">
        <v>0</v>
      </c>
      <c r="Z180" s="303">
        <v>0.01</v>
      </c>
      <c r="AA180" s="301">
        <v>168</v>
      </c>
      <c r="AB180" s="301">
        <v>79</v>
      </c>
      <c r="AC180" s="301">
        <v>0</v>
      </c>
      <c r="AD180" s="301">
        <v>0</v>
      </c>
      <c r="AE180" s="301">
        <v>0</v>
      </c>
    </row>
    <row r="181" spans="1:31" x14ac:dyDescent="0.25">
      <c r="A181" s="148">
        <v>5708</v>
      </c>
      <c r="B181" s="293" t="s">
        <v>271</v>
      </c>
      <c r="C181" s="301">
        <v>982</v>
      </c>
      <c r="D181" s="304">
        <v>68</v>
      </c>
      <c r="E181" s="305">
        <v>1.5</v>
      </c>
      <c r="F181" s="300">
        <v>3764104.69</v>
      </c>
      <c r="G181" s="301">
        <v>723937.1</v>
      </c>
      <c r="H181" s="301">
        <v>20330.099999999999</v>
      </c>
      <c r="I181" s="301">
        <v>995.15</v>
      </c>
      <c r="J181" s="301"/>
      <c r="K181" s="301">
        <v>99.67</v>
      </c>
      <c r="L181" s="301">
        <v>-5027.4399999999996</v>
      </c>
      <c r="M181" s="301">
        <v>0</v>
      </c>
      <c r="N181" s="302">
        <f t="shared" si="4"/>
        <v>2105.2125148151858</v>
      </c>
      <c r="O181" s="301">
        <v>461120.55</v>
      </c>
      <c r="P181" s="301">
        <v>-19663.560000000001</v>
      </c>
      <c r="Q181" s="301">
        <v>13731.8</v>
      </c>
      <c r="R181" s="301">
        <v>-22351.4</v>
      </c>
      <c r="S181" s="301">
        <v>62549.65</v>
      </c>
      <c r="T181" s="301"/>
      <c r="U181" s="301">
        <v>79350.55</v>
      </c>
      <c r="V181" s="301">
        <v>17492.2</v>
      </c>
      <c r="W181" s="302">
        <f t="shared" si="5"/>
        <v>5098774.2725148145</v>
      </c>
      <c r="X181" s="301">
        <v>212</v>
      </c>
      <c r="Y181" s="301">
        <v>0</v>
      </c>
      <c r="Z181" s="303">
        <v>5.0000000000000001E-3</v>
      </c>
      <c r="AA181" s="301">
        <v>116</v>
      </c>
      <c r="AB181" s="301">
        <v>116</v>
      </c>
      <c r="AC181" s="301">
        <v>0</v>
      </c>
      <c r="AD181" s="301">
        <v>0</v>
      </c>
      <c r="AE181" s="301">
        <v>0</v>
      </c>
    </row>
    <row r="182" spans="1:31" x14ac:dyDescent="0.25">
      <c r="A182" s="148">
        <v>5709</v>
      </c>
      <c r="B182" s="293" t="s">
        <v>272</v>
      </c>
      <c r="C182" s="301">
        <v>1277</v>
      </c>
      <c r="D182" s="304">
        <v>59</v>
      </c>
      <c r="E182" s="305">
        <v>1</v>
      </c>
      <c r="F182" s="300">
        <v>4473166.74</v>
      </c>
      <c r="G182" s="301">
        <v>862783.89</v>
      </c>
      <c r="H182" s="301">
        <v>55599</v>
      </c>
      <c r="I182" s="301">
        <v>14048.6</v>
      </c>
      <c r="J182" s="301">
        <v>663903.44999999995</v>
      </c>
      <c r="K182" s="301">
        <v>59.51</v>
      </c>
      <c r="L182" s="301">
        <v>-9059.2099999999991</v>
      </c>
      <c r="M182" s="301">
        <v>2250</v>
      </c>
      <c r="N182" s="302">
        <f t="shared" si="4"/>
        <v>6875.5582770116253</v>
      </c>
      <c r="O182" s="301">
        <v>424788.2</v>
      </c>
      <c r="P182" s="301">
        <v>54700.59</v>
      </c>
      <c r="Q182" s="301">
        <v>12548.85</v>
      </c>
      <c r="R182" s="301">
        <v>-16178.96</v>
      </c>
      <c r="S182" s="301">
        <v>313690.5</v>
      </c>
      <c r="T182" s="301"/>
      <c r="U182" s="301">
        <v>402500.45</v>
      </c>
      <c r="V182" s="301">
        <v>63278.55</v>
      </c>
      <c r="W182" s="302">
        <f t="shared" si="5"/>
        <v>7324955.7182770111</v>
      </c>
      <c r="X182" s="301">
        <v>1043</v>
      </c>
      <c r="Y182" s="301">
        <v>0</v>
      </c>
      <c r="Z182" s="303">
        <v>0.22800000000000001</v>
      </c>
      <c r="AA182" s="301">
        <v>140</v>
      </c>
      <c r="AB182" s="301">
        <v>57</v>
      </c>
      <c r="AC182" s="301">
        <v>0</v>
      </c>
      <c r="AD182" s="301">
        <v>0</v>
      </c>
      <c r="AE182" s="301">
        <v>0</v>
      </c>
    </row>
    <row r="183" spans="1:31" x14ac:dyDescent="0.25">
      <c r="A183" s="148">
        <v>5710</v>
      </c>
      <c r="B183" s="293" t="s">
        <v>273</v>
      </c>
      <c r="C183" s="301">
        <v>517</v>
      </c>
      <c r="D183" s="304">
        <v>49</v>
      </c>
      <c r="E183" s="305">
        <v>1</v>
      </c>
      <c r="F183" s="300">
        <v>1038869.82</v>
      </c>
      <c r="G183" s="301">
        <v>192024.63</v>
      </c>
      <c r="H183" s="301">
        <v>-8441.2999999999993</v>
      </c>
      <c r="I183" s="301">
        <v>1928.95</v>
      </c>
      <c r="J183" s="301">
        <v>-110710.39999999999</v>
      </c>
      <c r="K183" s="301">
        <v>1139.17</v>
      </c>
      <c r="L183" s="301">
        <v>-4287.26</v>
      </c>
      <c r="M183" s="301">
        <v>0</v>
      </c>
      <c r="N183" s="302">
        <f t="shared" si="4"/>
        <v>-642.89425544163259</v>
      </c>
      <c r="O183" s="301">
        <v>132917.29999999999</v>
      </c>
      <c r="P183" s="301">
        <v>24594.880000000001</v>
      </c>
      <c r="Q183" s="301">
        <v>3874.8</v>
      </c>
      <c r="R183" s="301">
        <v>-11766.8</v>
      </c>
      <c r="S183" s="301">
        <v>148940</v>
      </c>
      <c r="T183" s="301"/>
      <c r="U183" s="301">
        <v>8887.4500000000007</v>
      </c>
      <c r="V183" s="301">
        <v>79291.05</v>
      </c>
      <c r="W183" s="302">
        <f t="shared" si="5"/>
        <v>1496619.3957445582</v>
      </c>
      <c r="X183" s="301">
        <v>294</v>
      </c>
      <c r="Y183" s="301">
        <v>0</v>
      </c>
      <c r="Z183" s="303">
        <v>2.9000000000000001E-2</v>
      </c>
      <c r="AA183" s="301">
        <v>54</v>
      </c>
      <c r="AB183" s="301">
        <v>19</v>
      </c>
      <c r="AC183" s="301">
        <v>0</v>
      </c>
      <c r="AD183" s="301">
        <v>0</v>
      </c>
      <c r="AE183" s="301">
        <v>0</v>
      </c>
    </row>
    <row r="184" spans="1:31" x14ac:dyDescent="0.25">
      <c r="A184" s="148">
        <v>5711</v>
      </c>
      <c r="B184" s="293" t="s">
        <v>274</v>
      </c>
      <c r="C184" s="301">
        <v>2987</v>
      </c>
      <c r="D184" s="304">
        <v>57</v>
      </c>
      <c r="E184" s="305">
        <v>1.3</v>
      </c>
      <c r="F184" s="300">
        <v>13230486.630000001</v>
      </c>
      <c r="G184" s="301">
        <v>2278726.84</v>
      </c>
      <c r="H184" s="301">
        <v>53257.15</v>
      </c>
      <c r="I184" s="301">
        <v>13615</v>
      </c>
      <c r="J184" s="301">
        <v>219099.95</v>
      </c>
      <c r="K184" s="301">
        <v>43782.75</v>
      </c>
      <c r="L184" s="301">
        <v>-53761.69</v>
      </c>
      <c r="M184" s="301">
        <v>-17500</v>
      </c>
      <c r="N184" s="302">
        <f t="shared" si="4"/>
        <v>6601.5679568867108</v>
      </c>
      <c r="O184" s="301">
        <v>1350309.75</v>
      </c>
      <c r="P184" s="301">
        <v>44589.07</v>
      </c>
      <c r="Q184" s="301">
        <v>1017.35</v>
      </c>
      <c r="R184" s="301">
        <v>-76106.69</v>
      </c>
      <c r="S184" s="301">
        <v>670743.35</v>
      </c>
      <c r="T184" s="301"/>
      <c r="U184" s="301">
        <v>984291.35</v>
      </c>
      <c r="V184" s="301">
        <v>37825.300000000003</v>
      </c>
      <c r="W184" s="302">
        <f t="shared" si="5"/>
        <v>18786977.677956894</v>
      </c>
      <c r="X184" s="301">
        <v>650</v>
      </c>
      <c r="Y184" s="301">
        <v>0</v>
      </c>
      <c r="Z184" s="303">
        <v>8.0000000000000002E-3</v>
      </c>
      <c r="AA184" s="301">
        <v>300</v>
      </c>
      <c r="AB184" s="301">
        <v>13</v>
      </c>
      <c r="AC184" s="301">
        <v>0</v>
      </c>
      <c r="AD184" s="301">
        <v>0</v>
      </c>
      <c r="AE184" s="301">
        <v>0</v>
      </c>
    </row>
    <row r="185" spans="1:31" x14ac:dyDescent="0.25">
      <c r="A185" s="148">
        <v>5712</v>
      </c>
      <c r="B185" s="293" t="s">
        <v>275</v>
      </c>
      <c r="C185" s="301">
        <v>3216</v>
      </c>
      <c r="D185" s="304">
        <v>57</v>
      </c>
      <c r="E185" s="305">
        <v>1.5</v>
      </c>
      <c r="F185" s="453">
        <f>17455225.53-2700000</f>
        <v>14755225.530000001</v>
      </c>
      <c r="G185" s="301">
        <v>6512301.46</v>
      </c>
      <c r="H185" s="301">
        <v>79400.45</v>
      </c>
      <c r="I185" s="301">
        <v>71326.55</v>
      </c>
      <c r="J185" s="301">
        <v>831200.96</v>
      </c>
      <c r="K185" s="301">
        <v>12625.97</v>
      </c>
      <c r="L185" s="301">
        <v>-56597.18</v>
      </c>
      <c r="M185" s="301">
        <v>-766</v>
      </c>
      <c r="N185" s="302">
        <f t="shared" si="4"/>
        <v>14879.655184372918</v>
      </c>
      <c r="O185" s="301">
        <v>1934727.8</v>
      </c>
      <c r="P185" s="301">
        <v>-32723.3</v>
      </c>
      <c r="Q185" s="301">
        <v>49562.55</v>
      </c>
      <c r="R185" s="301">
        <v>-132337.70000000001</v>
      </c>
      <c r="S185" s="301">
        <v>614129.94999999995</v>
      </c>
      <c r="T185" s="301">
        <v>124381</v>
      </c>
      <c r="U185" s="301">
        <v>1156041.6499999999</v>
      </c>
      <c r="V185" s="301">
        <v>176541.3</v>
      </c>
      <c r="W185" s="302">
        <f t="shared" si="5"/>
        <v>26109920.645184375</v>
      </c>
      <c r="X185" s="301">
        <v>184</v>
      </c>
      <c r="Y185" s="301">
        <v>0</v>
      </c>
      <c r="Z185" s="303">
        <v>3.5999999999999997E-2</v>
      </c>
      <c r="AA185" s="301">
        <v>318</v>
      </c>
      <c r="AB185" s="301">
        <v>3</v>
      </c>
      <c r="AC185" s="301">
        <v>0</v>
      </c>
      <c r="AD185" s="301">
        <v>0</v>
      </c>
      <c r="AE185" s="301">
        <v>0</v>
      </c>
    </row>
    <row r="186" spans="1:31" x14ac:dyDescent="0.25">
      <c r="A186" s="148">
        <v>5713</v>
      </c>
      <c r="B186" s="293" t="s">
        <v>276</v>
      </c>
      <c r="C186" s="301">
        <v>2455</v>
      </c>
      <c r="D186" s="304">
        <v>59</v>
      </c>
      <c r="E186" s="305">
        <v>1</v>
      </c>
      <c r="F186" s="300">
        <v>9809344.8699999992</v>
      </c>
      <c r="G186" s="301">
        <v>5027544.3499999996</v>
      </c>
      <c r="H186" s="301">
        <v>106044.9</v>
      </c>
      <c r="I186" s="301">
        <v>34649.599999999999</v>
      </c>
      <c r="J186" s="301">
        <v>677850.7</v>
      </c>
      <c r="K186" s="301">
        <v>14515.66</v>
      </c>
      <c r="L186" s="301">
        <v>-25378.34</v>
      </c>
      <c r="M186" s="301">
        <v>-400</v>
      </c>
      <c r="N186" s="302">
        <f t="shared" si="4"/>
        <v>13889.254389311505</v>
      </c>
      <c r="O186" s="301">
        <v>970717.45</v>
      </c>
      <c r="P186" s="301">
        <v>276420.26</v>
      </c>
      <c r="Q186" s="301">
        <v>26586.6</v>
      </c>
      <c r="R186" s="301">
        <v>-103598.68</v>
      </c>
      <c r="S186" s="301">
        <v>447645</v>
      </c>
      <c r="T186" s="301">
        <v>1264102.7</v>
      </c>
      <c r="U186" s="301">
        <v>1202659.1499999999</v>
      </c>
      <c r="V186" s="301">
        <v>36110.85</v>
      </c>
      <c r="W186" s="302">
        <f t="shared" si="5"/>
        <v>19778704.324389312</v>
      </c>
      <c r="X186" s="301">
        <v>428</v>
      </c>
      <c r="Y186" s="301">
        <v>0</v>
      </c>
      <c r="Z186" s="303">
        <v>3.5999999999999997E-2</v>
      </c>
      <c r="AA186" s="301">
        <v>260</v>
      </c>
      <c r="AB186" s="301">
        <v>147</v>
      </c>
      <c r="AC186" s="301">
        <v>0</v>
      </c>
      <c r="AD186" s="301">
        <v>0</v>
      </c>
      <c r="AE186" s="301">
        <v>1</v>
      </c>
    </row>
    <row r="187" spans="1:31" x14ac:dyDescent="0.25">
      <c r="A187" s="148">
        <v>5714</v>
      </c>
      <c r="B187" s="293" t="s">
        <v>277</v>
      </c>
      <c r="C187" s="301">
        <v>1274</v>
      </c>
      <c r="D187" s="304">
        <v>66.5</v>
      </c>
      <c r="E187" s="305">
        <v>1</v>
      </c>
      <c r="F187" s="300">
        <v>3352686.13</v>
      </c>
      <c r="G187" s="301">
        <v>501201.72</v>
      </c>
      <c r="H187" s="301">
        <v>32523.9</v>
      </c>
      <c r="I187" s="301">
        <v>2532.5</v>
      </c>
      <c r="J187" s="301">
        <v>199581.05</v>
      </c>
      <c r="K187" s="301"/>
      <c r="L187" s="301">
        <v>-4216.1099999999997</v>
      </c>
      <c r="M187" s="301">
        <v>-167</v>
      </c>
      <c r="N187" s="302">
        <f t="shared" si="4"/>
        <v>3460.741234187974</v>
      </c>
      <c r="O187" s="301">
        <v>322417.59999999998</v>
      </c>
      <c r="P187" s="301">
        <v>41039.58</v>
      </c>
      <c r="Q187" s="301">
        <v>9331.5499999999993</v>
      </c>
      <c r="R187" s="301">
        <v>-3856.6</v>
      </c>
      <c r="S187" s="301">
        <v>122265</v>
      </c>
      <c r="T187" s="301"/>
      <c r="U187" s="301">
        <v>185378.3</v>
      </c>
      <c r="V187" s="301">
        <v>127997.55</v>
      </c>
      <c r="W187" s="302">
        <f t="shared" si="5"/>
        <v>4892175.911234187</v>
      </c>
      <c r="X187" s="301">
        <v>202</v>
      </c>
      <c r="Y187" s="301">
        <v>0</v>
      </c>
      <c r="Z187" s="303">
        <v>1.6E-2</v>
      </c>
      <c r="AA187" s="301">
        <v>147</v>
      </c>
      <c r="AB187" s="301">
        <v>23</v>
      </c>
      <c r="AC187" s="301">
        <v>0</v>
      </c>
      <c r="AD187" s="301">
        <v>0</v>
      </c>
      <c r="AE187" s="301">
        <v>0</v>
      </c>
    </row>
    <row r="188" spans="1:31" x14ac:dyDescent="0.25">
      <c r="A188" s="148">
        <v>5715</v>
      </c>
      <c r="B188" s="293" t="s">
        <v>278</v>
      </c>
      <c r="C188" s="301">
        <v>1143</v>
      </c>
      <c r="D188" s="304">
        <v>66</v>
      </c>
      <c r="E188" s="305">
        <v>1</v>
      </c>
      <c r="F188" s="300">
        <v>2836851.28</v>
      </c>
      <c r="G188" s="301">
        <v>588788.13</v>
      </c>
      <c r="H188" s="301">
        <v>79724.2</v>
      </c>
      <c r="I188" s="301">
        <v>-159.5</v>
      </c>
      <c r="J188" s="301"/>
      <c r="K188" s="301">
        <v>252.09</v>
      </c>
      <c r="L188" s="301">
        <v>-2768.03</v>
      </c>
      <c r="M188" s="301">
        <v>0</v>
      </c>
      <c r="N188" s="302">
        <f t="shared" si="4"/>
        <v>7854.5668715497277</v>
      </c>
      <c r="O188" s="301">
        <v>304436.59999999998</v>
      </c>
      <c r="P188" s="301">
        <v>45887.34</v>
      </c>
      <c r="Q188" s="301">
        <v>9200</v>
      </c>
      <c r="R188" s="301">
        <v>-8974.7999999999993</v>
      </c>
      <c r="S188" s="301">
        <v>121294.3</v>
      </c>
      <c r="T188" s="301">
        <v>1677</v>
      </c>
      <c r="U188" s="301">
        <v>220963.6</v>
      </c>
      <c r="V188" s="301">
        <v>137616.95000000001</v>
      </c>
      <c r="W188" s="302">
        <f t="shared" si="5"/>
        <v>4342643.7268715501</v>
      </c>
      <c r="X188" s="301">
        <v>405</v>
      </c>
      <c r="Y188" s="301">
        <v>0</v>
      </c>
      <c r="Z188" s="303">
        <v>1.7000000000000001E-2</v>
      </c>
      <c r="AA188" s="301">
        <v>138</v>
      </c>
      <c r="AB188" s="301">
        <v>62</v>
      </c>
      <c r="AC188" s="301">
        <v>0</v>
      </c>
      <c r="AD188" s="301">
        <v>0</v>
      </c>
      <c r="AE188" s="301">
        <v>0</v>
      </c>
    </row>
    <row r="189" spans="1:31" x14ac:dyDescent="0.25">
      <c r="A189" s="148">
        <v>5716</v>
      </c>
      <c r="B189" s="293" t="s">
        <v>279</v>
      </c>
      <c r="C189" s="301">
        <v>1772</v>
      </c>
      <c r="D189" s="304">
        <v>59.5</v>
      </c>
      <c r="E189" s="305">
        <v>1</v>
      </c>
      <c r="F189" s="300">
        <v>4721641.49</v>
      </c>
      <c r="G189" s="301">
        <v>973420.34</v>
      </c>
      <c r="H189" s="301">
        <v>14106248.550000001</v>
      </c>
      <c r="I189" s="301">
        <v>854973.95</v>
      </c>
      <c r="J189" s="301"/>
      <c r="K189" s="301">
        <v>30890.46</v>
      </c>
      <c r="L189" s="301">
        <v>-29142.71</v>
      </c>
      <c r="M189" s="301">
        <v>-8450</v>
      </c>
      <c r="N189" s="302">
        <f t="shared" si="4"/>
        <v>1476960.5441406101</v>
      </c>
      <c r="O189" s="301">
        <v>722232.6</v>
      </c>
      <c r="P189" s="301">
        <v>250388.29</v>
      </c>
      <c r="Q189" s="301">
        <v>-123.5</v>
      </c>
      <c r="R189" s="301">
        <v>-3488.2</v>
      </c>
      <c r="S189" s="301">
        <v>866502.1</v>
      </c>
      <c r="T189" s="301">
        <v>17583.3</v>
      </c>
      <c r="U189" s="301">
        <v>172333.65</v>
      </c>
      <c r="V189" s="301">
        <v>529807</v>
      </c>
      <c r="W189" s="302">
        <f t="shared" si="5"/>
        <v>24681777.864140615</v>
      </c>
      <c r="X189" s="301">
        <v>236</v>
      </c>
      <c r="Y189" s="301">
        <v>0</v>
      </c>
      <c r="Z189" s="303">
        <v>4.4999999999999998E-2</v>
      </c>
      <c r="AA189" s="301">
        <v>222</v>
      </c>
      <c r="AB189" s="301">
        <v>121</v>
      </c>
      <c r="AC189" s="301">
        <v>0</v>
      </c>
      <c r="AD189" s="301">
        <v>0</v>
      </c>
      <c r="AE189" s="301">
        <v>0</v>
      </c>
    </row>
    <row r="190" spans="1:31" x14ac:dyDescent="0.25">
      <c r="A190" s="148">
        <v>5717</v>
      </c>
      <c r="B190" s="293" t="s">
        <v>280</v>
      </c>
      <c r="C190" s="301">
        <v>3748</v>
      </c>
      <c r="D190" s="304">
        <v>57</v>
      </c>
      <c r="E190" s="305">
        <v>1</v>
      </c>
      <c r="F190" s="300">
        <v>15149596.92</v>
      </c>
      <c r="G190" s="301">
        <v>4315512.18</v>
      </c>
      <c r="H190" s="301">
        <v>101430.7</v>
      </c>
      <c r="I190" s="301">
        <v>34687.199999999997</v>
      </c>
      <c r="J190" s="301">
        <v>1395207.12</v>
      </c>
      <c r="K190" s="301">
        <v>50575.76</v>
      </c>
      <c r="L190" s="301">
        <v>-118760.11</v>
      </c>
      <c r="M190" s="301">
        <v>-2350</v>
      </c>
      <c r="N190" s="302">
        <f t="shared" si="4"/>
        <v>13437.455906512796</v>
      </c>
      <c r="O190" s="301">
        <v>1465209.9</v>
      </c>
      <c r="P190" s="301">
        <v>50213.55</v>
      </c>
      <c r="Q190" s="301">
        <v>67511</v>
      </c>
      <c r="R190" s="301">
        <v>-322557.3</v>
      </c>
      <c r="S190" s="301">
        <v>1066244</v>
      </c>
      <c r="T190" s="301">
        <v>16565.400000000001</v>
      </c>
      <c r="U190" s="301">
        <v>1144081.1000000001</v>
      </c>
      <c r="V190" s="301">
        <v>281693.75</v>
      </c>
      <c r="W190" s="302">
        <f t="shared" si="5"/>
        <v>24708298.625906516</v>
      </c>
      <c r="X190" s="301">
        <v>476</v>
      </c>
      <c r="Y190" s="301">
        <v>0</v>
      </c>
      <c r="Z190" s="303">
        <v>1.4E-2</v>
      </c>
      <c r="AA190" s="301">
        <v>383</v>
      </c>
      <c r="AB190" s="301">
        <v>63</v>
      </c>
      <c r="AC190" s="301">
        <v>0</v>
      </c>
      <c r="AD190" s="301">
        <v>0</v>
      </c>
      <c r="AE190" s="301">
        <v>0</v>
      </c>
    </row>
    <row r="191" spans="1:31" x14ac:dyDescent="0.25">
      <c r="A191" s="148">
        <v>5718</v>
      </c>
      <c r="B191" s="293" t="s">
        <v>281</v>
      </c>
      <c r="C191" s="301">
        <v>2012</v>
      </c>
      <c r="D191" s="304">
        <v>52</v>
      </c>
      <c r="E191" s="305">
        <v>1</v>
      </c>
      <c r="F191" s="453">
        <f>9231271.42-2400000</f>
        <v>6831271.4199999999</v>
      </c>
      <c r="G191" s="301">
        <v>2043052.72</v>
      </c>
      <c r="H191" s="301">
        <v>-107726.25</v>
      </c>
      <c r="I191" s="301">
        <v>26487.55</v>
      </c>
      <c r="J191" s="301">
        <v>517980.7</v>
      </c>
      <c r="K191" s="301">
        <v>6127.43</v>
      </c>
      <c r="L191" s="301">
        <v>-86866.94</v>
      </c>
      <c r="M191" s="301">
        <v>-2750</v>
      </c>
      <c r="N191" s="302">
        <f t="shared" si="4"/>
        <v>-8019.8228826070708</v>
      </c>
      <c r="O191" s="301">
        <v>752106.55</v>
      </c>
      <c r="P191" s="301">
        <v>75113.38</v>
      </c>
      <c r="Q191" s="301">
        <v>49948.800000000003</v>
      </c>
      <c r="R191" s="301">
        <v>-39714.74</v>
      </c>
      <c r="S191" s="301">
        <v>382445.6</v>
      </c>
      <c r="T191" s="301">
        <v>165093.20000000001</v>
      </c>
      <c r="U191" s="301">
        <v>649248.15</v>
      </c>
      <c r="V191" s="301">
        <v>286221.3</v>
      </c>
      <c r="W191" s="302">
        <f t="shared" si="5"/>
        <v>11540019.047117395</v>
      </c>
      <c r="X191" s="301">
        <v>484</v>
      </c>
      <c r="Y191" s="301">
        <v>0</v>
      </c>
      <c r="Z191" s="303">
        <v>7.2999999999999995E-2</v>
      </c>
      <c r="AA191" s="301">
        <v>215</v>
      </c>
      <c r="AB191" s="301">
        <v>81</v>
      </c>
      <c r="AC191" s="301">
        <v>0</v>
      </c>
      <c r="AD191" s="301">
        <v>0</v>
      </c>
      <c r="AE191" s="301">
        <v>0</v>
      </c>
    </row>
    <row r="192" spans="1:31" x14ac:dyDescent="0.25">
      <c r="A192" s="148">
        <v>5719</v>
      </c>
      <c r="B192" s="293" t="s">
        <v>282</v>
      </c>
      <c r="C192" s="301">
        <v>1253</v>
      </c>
      <c r="D192" s="304">
        <v>60</v>
      </c>
      <c r="E192" s="305">
        <v>0.6</v>
      </c>
      <c r="F192" s="300">
        <v>6067386.2300000004</v>
      </c>
      <c r="G192" s="301">
        <v>3451324.85</v>
      </c>
      <c r="H192" s="301">
        <v>69598.75</v>
      </c>
      <c r="I192" s="301">
        <v>16327.45</v>
      </c>
      <c r="J192" s="301">
        <v>303500.69</v>
      </c>
      <c r="K192" s="301">
        <v>3485.76</v>
      </c>
      <c r="L192" s="301">
        <v>-7421.03</v>
      </c>
      <c r="M192" s="301">
        <v>-450</v>
      </c>
      <c r="N192" s="302">
        <f t="shared" si="4"/>
        <v>8482.5693293402255</v>
      </c>
      <c r="O192" s="301">
        <v>275813.5</v>
      </c>
      <c r="P192" s="301">
        <v>22565.78</v>
      </c>
      <c r="Q192" s="301">
        <v>16041.8</v>
      </c>
      <c r="R192" s="301">
        <v>-14421.32</v>
      </c>
      <c r="S192" s="301">
        <v>95549.4</v>
      </c>
      <c r="T192" s="452">
        <f>1714858.3-1500000</f>
        <v>214858.30000000005</v>
      </c>
      <c r="U192" s="301">
        <v>150212.29999999999</v>
      </c>
      <c r="V192" s="301">
        <v>78243.899999999994</v>
      </c>
      <c r="W192" s="302">
        <f t="shared" si="5"/>
        <v>10751098.929329341</v>
      </c>
      <c r="X192" s="301">
        <v>1249</v>
      </c>
      <c r="Y192" s="301">
        <v>2</v>
      </c>
      <c r="Z192" s="303">
        <v>0.31900000000000001</v>
      </c>
      <c r="AA192" s="301">
        <v>125</v>
      </c>
      <c r="AB192" s="301">
        <v>58</v>
      </c>
      <c r="AC192" s="301">
        <v>0</v>
      </c>
      <c r="AD192" s="301">
        <v>0</v>
      </c>
      <c r="AE192" s="301">
        <v>0</v>
      </c>
    </row>
    <row r="193" spans="1:31" x14ac:dyDescent="0.25">
      <c r="A193" s="148">
        <v>5720</v>
      </c>
      <c r="B193" s="293" t="s">
        <v>283</v>
      </c>
      <c r="C193" s="301">
        <v>1071</v>
      </c>
      <c r="D193" s="304">
        <v>67</v>
      </c>
      <c r="E193" s="305">
        <v>0.9</v>
      </c>
      <c r="F193" s="300">
        <v>3482253.3</v>
      </c>
      <c r="G193" s="301">
        <v>780687.77</v>
      </c>
      <c r="H193" s="301">
        <v>72974.850000000006</v>
      </c>
      <c r="I193" s="301">
        <v>7407.5</v>
      </c>
      <c r="J193" s="301">
        <v>491109.07</v>
      </c>
      <c r="K193" s="301">
        <v>1397.71</v>
      </c>
      <c r="L193" s="301">
        <v>-16647.46</v>
      </c>
      <c r="M193" s="301">
        <v>-800</v>
      </c>
      <c r="N193" s="302">
        <f t="shared" si="4"/>
        <v>7935.2846597462858</v>
      </c>
      <c r="O193" s="301">
        <v>307247.05</v>
      </c>
      <c r="P193" s="301">
        <v>25906.3</v>
      </c>
      <c r="Q193" s="301"/>
      <c r="R193" s="301">
        <v>-11817.57</v>
      </c>
      <c r="S193" s="301">
        <v>130313.15</v>
      </c>
      <c r="T193" s="452">
        <f>2853000.3-2750000</f>
        <v>103000.29999999981</v>
      </c>
      <c r="U193" s="301">
        <v>201082.35</v>
      </c>
      <c r="V193" s="301">
        <v>33034.550000000003</v>
      </c>
      <c r="W193" s="302">
        <f t="shared" si="5"/>
        <v>5615084.1546597453</v>
      </c>
      <c r="X193" s="301">
        <v>394</v>
      </c>
      <c r="Y193" s="301">
        <v>0</v>
      </c>
      <c r="Z193" s="303">
        <v>0.248</v>
      </c>
      <c r="AA193" s="301">
        <v>116</v>
      </c>
      <c r="AB193" s="301">
        <v>24</v>
      </c>
      <c r="AC193" s="301">
        <v>0</v>
      </c>
      <c r="AD193" s="301">
        <v>0</v>
      </c>
      <c r="AE193" s="301">
        <v>0</v>
      </c>
    </row>
    <row r="194" spans="1:31" x14ac:dyDescent="0.25">
      <c r="A194" s="148">
        <v>5721</v>
      </c>
      <c r="B194" s="293" t="s">
        <v>284</v>
      </c>
      <c r="C194" s="301">
        <v>13968</v>
      </c>
      <c r="D194" s="304">
        <v>61</v>
      </c>
      <c r="E194" s="305">
        <v>1</v>
      </c>
      <c r="F194" s="300">
        <v>27351891.23</v>
      </c>
      <c r="G194" s="301">
        <v>5779491.6299999999</v>
      </c>
      <c r="H194" s="301">
        <v>5218417.5999999996</v>
      </c>
      <c r="I194" s="301">
        <v>442170.4</v>
      </c>
      <c r="J194" s="301">
        <v>709037</v>
      </c>
      <c r="K194" s="301">
        <v>66229.039999999994</v>
      </c>
      <c r="L194" s="301">
        <v>-232994.58</v>
      </c>
      <c r="M194" s="301">
        <v>-16466.66</v>
      </c>
      <c r="N194" s="302">
        <f t="shared" si="4"/>
        <v>558808.95646300341</v>
      </c>
      <c r="O194" s="301">
        <v>3255697.55</v>
      </c>
      <c r="P194" s="301">
        <v>917434.62</v>
      </c>
      <c r="Q194" s="301">
        <v>391496.3</v>
      </c>
      <c r="R194" s="301">
        <v>-47497.17</v>
      </c>
      <c r="S194" s="301">
        <v>2001477.35</v>
      </c>
      <c r="T194" s="301">
        <v>1307590.8999999999</v>
      </c>
      <c r="U194" s="301">
        <v>1254460.1000000001</v>
      </c>
      <c r="V194" s="301">
        <v>3112233.75</v>
      </c>
      <c r="W194" s="302">
        <f t="shared" si="5"/>
        <v>52069478.016462997</v>
      </c>
      <c r="X194" s="301">
        <v>832</v>
      </c>
      <c r="Y194" s="301">
        <v>0</v>
      </c>
      <c r="Z194" s="303">
        <v>2.8000000000000001E-2</v>
      </c>
      <c r="AA194" s="301">
        <v>1696</v>
      </c>
      <c r="AB194" s="301">
        <v>61</v>
      </c>
      <c r="AC194" s="301">
        <v>465935.25</v>
      </c>
      <c r="AD194" s="301">
        <v>42078</v>
      </c>
      <c r="AE194" s="301">
        <v>0</v>
      </c>
    </row>
    <row r="195" spans="1:31" x14ac:dyDescent="0.25">
      <c r="A195" s="148">
        <v>5722</v>
      </c>
      <c r="B195" s="293" t="s">
        <v>285</v>
      </c>
      <c r="C195" s="301">
        <v>394</v>
      </c>
      <c r="D195" s="304">
        <v>62</v>
      </c>
      <c r="E195" s="305">
        <v>1</v>
      </c>
      <c r="F195" s="300">
        <v>1053371.3400000001</v>
      </c>
      <c r="G195" s="301">
        <v>147588.17000000001</v>
      </c>
      <c r="H195" s="452">
        <f>587270.15-300000</f>
        <v>287270.15000000002</v>
      </c>
      <c r="I195" s="301">
        <v>29877.45</v>
      </c>
      <c r="J195" s="301"/>
      <c r="K195" s="301">
        <v>9291.06</v>
      </c>
      <c r="L195" s="301">
        <v>-6806.95</v>
      </c>
      <c r="M195" s="301">
        <v>0</v>
      </c>
      <c r="N195" s="302">
        <f t="shared" si="4"/>
        <v>31308.57066452214</v>
      </c>
      <c r="O195" s="301">
        <v>150942.85</v>
      </c>
      <c r="P195" s="301">
        <v>34159.620000000003</v>
      </c>
      <c r="Q195" s="301">
        <v>26422.1</v>
      </c>
      <c r="R195" s="301">
        <v>-2959.75</v>
      </c>
      <c r="S195" s="301">
        <v>17820</v>
      </c>
      <c r="T195" s="301">
        <v>48704.4</v>
      </c>
      <c r="U195" s="301"/>
      <c r="V195" s="301">
        <v>266399.15000000002</v>
      </c>
      <c r="W195" s="302">
        <f t="shared" si="5"/>
        <v>2093388.1606645226</v>
      </c>
      <c r="X195" s="301">
        <v>255</v>
      </c>
      <c r="Y195" s="301">
        <v>0</v>
      </c>
      <c r="Z195" s="303">
        <v>5.0000000000000001E-3</v>
      </c>
      <c r="AA195" s="301">
        <v>45</v>
      </c>
      <c r="AB195" s="301">
        <v>26</v>
      </c>
      <c r="AC195" s="301">
        <v>0</v>
      </c>
      <c r="AD195" s="301">
        <v>0</v>
      </c>
      <c r="AE195" s="301">
        <v>0</v>
      </c>
    </row>
    <row r="196" spans="1:31" x14ac:dyDescent="0.25">
      <c r="A196" s="148">
        <v>5723</v>
      </c>
      <c r="B196" s="293" t="s">
        <v>286</v>
      </c>
      <c r="C196" s="301">
        <v>2163</v>
      </c>
      <c r="D196" s="304">
        <v>53</v>
      </c>
      <c r="E196" s="305">
        <v>1</v>
      </c>
      <c r="F196" s="300">
        <v>9357084.5199999996</v>
      </c>
      <c r="G196" s="301">
        <v>2630196.73</v>
      </c>
      <c r="H196" s="301">
        <v>195984.5</v>
      </c>
      <c r="I196" s="301">
        <v>29549.1</v>
      </c>
      <c r="J196" s="301">
        <v>1129001.7</v>
      </c>
      <c r="K196" s="301">
        <v>582.70000000000005</v>
      </c>
      <c r="L196" s="301">
        <v>-20609.12</v>
      </c>
      <c r="M196" s="301">
        <v>-41200</v>
      </c>
      <c r="N196" s="302">
        <f t="shared" si="4"/>
        <v>22264.506030706427</v>
      </c>
      <c r="O196" s="301">
        <v>1036881.45</v>
      </c>
      <c r="P196" s="301">
        <v>30995.63</v>
      </c>
      <c r="Q196" s="301">
        <v>86133.35</v>
      </c>
      <c r="R196" s="301">
        <v>-46544.78</v>
      </c>
      <c r="S196" s="301">
        <v>556264.35</v>
      </c>
      <c r="T196" s="301">
        <v>254943.4</v>
      </c>
      <c r="U196" s="301">
        <v>1557363.35</v>
      </c>
      <c r="V196" s="301">
        <v>239426.25</v>
      </c>
      <c r="W196" s="302">
        <f t="shared" si="5"/>
        <v>17018317.636030708</v>
      </c>
      <c r="X196" s="301">
        <v>349</v>
      </c>
      <c r="Y196" s="301">
        <v>0</v>
      </c>
      <c r="Z196" s="303">
        <v>1.9E-2</v>
      </c>
      <c r="AA196" s="301">
        <v>164</v>
      </c>
      <c r="AB196" s="301">
        <v>64</v>
      </c>
      <c r="AC196" s="301">
        <v>0</v>
      </c>
      <c r="AD196" s="301">
        <v>0</v>
      </c>
      <c r="AE196" s="301">
        <v>0</v>
      </c>
    </row>
    <row r="197" spans="1:31" x14ac:dyDescent="0.25">
      <c r="A197" s="148">
        <v>5724</v>
      </c>
      <c r="B197" s="293" t="s">
        <v>68</v>
      </c>
      <c r="C197" s="301">
        <v>23328</v>
      </c>
      <c r="D197" s="304">
        <v>61</v>
      </c>
      <c r="E197" s="305">
        <v>1.5</v>
      </c>
      <c r="F197" s="300">
        <v>64043986.649999999</v>
      </c>
      <c r="G197" s="301">
        <v>12191843.83</v>
      </c>
      <c r="H197" s="301">
        <v>10459614.15</v>
      </c>
      <c r="I197" s="301">
        <v>1463917.85</v>
      </c>
      <c r="J197" s="301">
        <v>1171841.25</v>
      </c>
      <c r="K197" s="301">
        <v>112518.51</v>
      </c>
      <c r="L197" s="301">
        <v>-620562.87</v>
      </c>
      <c r="M197" s="301">
        <v>-27756.32</v>
      </c>
      <c r="N197" s="302">
        <f t="shared" si="4"/>
        <v>1177082.0406419314</v>
      </c>
      <c r="O197" s="301">
        <v>9371948.0500000007</v>
      </c>
      <c r="P197" s="301">
        <v>3385610.47</v>
      </c>
      <c r="Q197" s="301">
        <v>1070922.2</v>
      </c>
      <c r="R197" s="301">
        <v>-648286.54</v>
      </c>
      <c r="S197" s="301">
        <v>4163719.75</v>
      </c>
      <c r="T197" s="301">
        <v>2706262.2</v>
      </c>
      <c r="U197" s="301">
        <v>1981909.9</v>
      </c>
      <c r="V197" s="301">
        <v>6013803.5499999998</v>
      </c>
      <c r="W197" s="302">
        <f t="shared" si="5"/>
        <v>118018374.67064194</v>
      </c>
      <c r="X197" s="301">
        <v>683</v>
      </c>
      <c r="Y197" s="301">
        <v>0</v>
      </c>
      <c r="Z197" s="303">
        <v>5.8000000000000003E-2</v>
      </c>
      <c r="AA197" s="301">
        <v>2473</v>
      </c>
      <c r="AB197" s="301">
        <v>28</v>
      </c>
      <c r="AC197" s="301">
        <v>3749648</v>
      </c>
      <c r="AD197" s="301">
        <v>0</v>
      </c>
      <c r="AE197" s="301">
        <v>1</v>
      </c>
    </row>
    <row r="198" spans="1:31" x14ac:dyDescent="0.25">
      <c r="A198" s="148">
        <v>5725</v>
      </c>
      <c r="B198" s="293" t="s">
        <v>287</v>
      </c>
      <c r="C198" s="301">
        <v>4280</v>
      </c>
      <c r="D198" s="304">
        <v>55</v>
      </c>
      <c r="E198" s="305">
        <v>1.4</v>
      </c>
      <c r="F198" s="300">
        <v>10677708.800000001</v>
      </c>
      <c r="G198" s="301">
        <v>3740295.97</v>
      </c>
      <c r="H198" s="301">
        <v>3561047.6</v>
      </c>
      <c r="I198" s="301">
        <v>42135.75</v>
      </c>
      <c r="J198" s="301">
        <v>362653.88</v>
      </c>
      <c r="K198" s="301">
        <v>17757.62</v>
      </c>
      <c r="L198" s="301">
        <v>-44730.91</v>
      </c>
      <c r="M198" s="301">
        <v>-25350</v>
      </c>
      <c r="N198" s="302">
        <f t="shared" si="4"/>
        <v>355703.52898998634</v>
      </c>
      <c r="O198" s="301">
        <v>1796701.45</v>
      </c>
      <c r="P198" s="301">
        <v>233998.61</v>
      </c>
      <c r="Q198" s="301">
        <v>45997</v>
      </c>
      <c r="R198" s="301">
        <v>-33266.44</v>
      </c>
      <c r="S198" s="301">
        <v>513723.35</v>
      </c>
      <c r="T198" s="301">
        <v>50119</v>
      </c>
      <c r="U198" s="301">
        <v>744790.25</v>
      </c>
      <c r="V198" s="301">
        <v>1404229.05</v>
      </c>
      <c r="W198" s="302">
        <f t="shared" si="5"/>
        <v>23443514.508989986</v>
      </c>
      <c r="X198" s="301">
        <v>600</v>
      </c>
      <c r="Y198" s="301">
        <v>0</v>
      </c>
      <c r="Z198" s="303">
        <v>2.8000000000000001E-2</v>
      </c>
      <c r="AA198" s="301">
        <v>483</v>
      </c>
      <c r="AB198" s="301">
        <v>115</v>
      </c>
      <c r="AC198" s="301">
        <v>946474</v>
      </c>
      <c r="AD198" s="301">
        <v>0</v>
      </c>
      <c r="AE198" s="301">
        <v>1</v>
      </c>
    </row>
    <row r="199" spans="1:31" x14ac:dyDescent="0.25">
      <c r="A199" s="148">
        <v>5726</v>
      </c>
      <c r="B199" s="293" t="s">
        <v>288</v>
      </c>
      <c r="C199" s="301">
        <v>1194</v>
      </c>
      <c r="D199" s="304">
        <v>63.5</v>
      </c>
      <c r="E199" s="305">
        <v>1</v>
      </c>
      <c r="F199" s="300">
        <v>3608246.34</v>
      </c>
      <c r="G199" s="301">
        <v>785706.03</v>
      </c>
      <c r="H199" s="301">
        <v>25934</v>
      </c>
      <c r="I199" s="301">
        <v>4727.6499999999996</v>
      </c>
      <c r="J199" s="301"/>
      <c r="K199" s="301">
        <v>3060.02</v>
      </c>
      <c r="L199" s="301">
        <v>-26380.2</v>
      </c>
      <c r="M199" s="301">
        <v>0</v>
      </c>
      <c r="N199" s="302">
        <f t="shared" si="4"/>
        <v>3026.8948455414616</v>
      </c>
      <c r="O199" s="301">
        <v>292382.05</v>
      </c>
      <c r="P199" s="301">
        <v>-30887.43</v>
      </c>
      <c r="Q199" s="301">
        <v>5351.95</v>
      </c>
      <c r="R199" s="301">
        <v>-11623.4</v>
      </c>
      <c r="S199" s="301">
        <v>53679.199999999997</v>
      </c>
      <c r="T199" s="301">
        <v>13496</v>
      </c>
      <c r="U199" s="301">
        <v>125765.9</v>
      </c>
      <c r="V199" s="301">
        <v>30191.8</v>
      </c>
      <c r="W199" s="302">
        <f t="shared" si="5"/>
        <v>4882676.8048455417</v>
      </c>
      <c r="X199" s="301">
        <v>1646</v>
      </c>
      <c r="Y199" s="301">
        <v>0</v>
      </c>
      <c r="Z199" s="303">
        <v>0.29699999999999999</v>
      </c>
      <c r="AA199" s="301">
        <v>147</v>
      </c>
      <c r="AB199" s="301">
        <v>47</v>
      </c>
      <c r="AC199" s="301">
        <v>0</v>
      </c>
      <c r="AD199" s="301">
        <v>0</v>
      </c>
      <c r="AE199" s="301">
        <v>0</v>
      </c>
    </row>
    <row r="200" spans="1:31" x14ac:dyDescent="0.25">
      <c r="A200" s="148">
        <v>5727</v>
      </c>
      <c r="B200" s="293" t="s">
        <v>289</v>
      </c>
      <c r="C200" s="301">
        <v>3012</v>
      </c>
      <c r="D200" s="304">
        <v>66</v>
      </c>
      <c r="E200" s="305">
        <v>1.5</v>
      </c>
      <c r="F200" s="300">
        <v>5623295.8399999999</v>
      </c>
      <c r="G200" s="301">
        <v>915735.24</v>
      </c>
      <c r="H200" s="301">
        <v>78989.75</v>
      </c>
      <c r="I200" s="301">
        <v>33793.550000000003</v>
      </c>
      <c r="J200" s="301">
        <v>156752.35</v>
      </c>
      <c r="K200" s="301">
        <v>48244.54</v>
      </c>
      <c r="L200" s="301">
        <v>-164447.54999999999</v>
      </c>
      <c r="M200" s="301">
        <v>-1200</v>
      </c>
      <c r="N200" s="302">
        <f t="shared" si="4"/>
        <v>11133.881882845715</v>
      </c>
      <c r="O200" s="301">
        <v>899196.55</v>
      </c>
      <c r="P200" s="301">
        <v>81225.48</v>
      </c>
      <c r="Q200" s="301">
        <v>-464.25</v>
      </c>
      <c r="R200" s="301">
        <v>-6546.04</v>
      </c>
      <c r="S200" s="301">
        <v>327838.2</v>
      </c>
      <c r="T200" s="301">
        <v>68569.7</v>
      </c>
      <c r="U200" s="301">
        <v>237601.4</v>
      </c>
      <c r="V200" s="301">
        <v>263913.75</v>
      </c>
      <c r="W200" s="302">
        <f t="shared" si="5"/>
        <v>8573632.3918828461</v>
      </c>
      <c r="X200" s="301">
        <v>2413</v>
      </c>
      <c r="Y200" s="301">
        <v>3012</v>
      </c>
      <c r="Z200" s="303">
        <v>0.27</v>
      </c>
      <c r="AA200" s="301">
        <v>349</v>
      </c>
      <c r="AB200" s="301">
        <v>163</v>
      </c>
      <c r="AC200" s="301">
        <v>0</v>
      </c>
      <c r="AD200" s="301">
        <v>0</v>
      </c>
      <c r="AE200" s="301">
        <v>0</v>
      </c>
    </row>
    <row r="201" spans="1:31" x14ac:dyDescent="0.25">
      <c r="A201" s="148">
        <v>5728</v>
      </c>
      <c r="B201" s="293" t="s">
        <v>290</v>
      </c>
      <c r="C201" s="301">
        <v>605</v>
      </c>
      <c r="D201" s="304">
        <v>58</v>
      </c>
      <c r="E201" s="305">
        <v>1</v>
      </c>
      <c r="F201" s="300">
        <v>1388615.18</v>
      </c>
      <c r="G201" s="301">
        <v>263561.68</v>
      </c>
      <c r="H201" s="301">
        <v>471663.05</v>
      </c>
      <c r="I201" s="301">
        <v>51468</v>
      </c>
      <c r="J201" s="301">
        <v>-31747.15</v>
      </c>
      <c r="K201" s="301">
        <v>8486.19</v>
      </c>
      <c r="L201" s="301">
        <v>-2930.89</v>
      </c>
      <c r="M201" s="301">
        <v>-6971</v>
      </c>
      <c r="N201" s="302">
        <f t="shared" ref="N201:N264" si="6">$N$308/SUM($H$308:$I$308)*(H201+I201)</f>
        <v>51643.100706833859</v>
      </c>
      <c r="O201" s="301">
        <v>244808.6</v>
      </c>
      <c r="P201" s="301">
        <v>73869.52</v>
      </c>
      <c r="Q201" s="301">
        <v>60337.95</v>
      </c>
      <c r="R201" s="301">
        <v>-620.9</v>
      </c>
      <c r="S201" s="301">
        <v>28798</v>
      </c>
      <c r="T201" s="301">
        <v>47580.1</v>
      </c>
      <c r="U201" s="301">
        <v>64356.1</v>
      </c>
      <c r="V201" s="301">
        <v>212373.3</v>
      </c>
      <c r="W201" s="302">
        <f t="shared" ref="W201:W264" si="7">SUM(F201:V201)</f>
        <v>2925290.8307068339</v>
      </c>
      <c r="X201" s="301">
        <v>193</v>
      </c>
      <c r="Y201" s="301">
        <v>0</v>
      </c>
      <c r="Z201" s="303">
        <v>8.9999999999999993E-3</v>
      </c>
      <c r="AA201" s="301">
        <v>67</v>
      </c>
      <c r="AB201" s="301">
        <v>57</v>
      </c>
      <c r="AC201" s="301">
        <v>0</v>
      </c>
      <c r="AD201" s="301">
        <v>0</v>
      </c>
      <c r="AE201" s="301">
        <v>0</v>
      </c>
    </row>
    <row r="202" spans="1:31" x14ac:dyDescent="0.25">
      <c r="A202" s="148">
        <v>5729</v>
      </c>
      <c r="B202" s="293" t="s">
        <v>291</v>
      </c>
      <c r="C202" s="301">
        <v>1728</v>
      </c>
      <c r="D202" s="304">
        <v>60.5</v>
      </c>
      <c r="E202" s="305">
        <v>1.5</v>
      </c>
      <c r="F202" s="300">
        <v>8234795.7300000004</v>
      </c>
      <c r="G202" s="301">
        <v>2096125.85</v>
      </c>
      <c r="H202" s="301">
        <v>176605.4</v>
      </c>
      <c r="I202" s="301">
        <v>10086</v>
      </c>
      <c r="J202" s="301">
        <v>319599.34999999998</v>
      </c>
      <c r="K202" s="301"/>
      <c r="L202" s="301">
        <v>-17293.68</v>
      </c>
      <c r="M202" s="301">
        <v>-2300</v>
      </c>
      <c r="N202" s="302">
        <f t="shared" si="6"/>
        <v>18430.033490269412</v>
      </c>
      <c r="O202" s="301">
        <v>1002408</v>
      </c>
      <c r="P202" s="301">
        <v>23443.78</v>
      </c>
      <c r="Q202" s="301">
        <v>-2820.65</v>
      </c>
      <c r="R202" s="301">
        <v>-50618.71</v>
      </c>
      <c r="S202" s="301">
        <v>325473.55</v>
      </c>
      <c r="T202" s="301"/>
      <c r="U202" s="301">
        <v>362223.95</v>
      </c>
      <c r="V202" s="301">
        <v>20232.05</v>
      </c>
      <c r="W202" s="302">
        <f t="shared" si="7"/>
        <v>12516390.653490268</v>
      </c>
      <c r="X202" s="301">
        <v>178</v>
      </c>
      <c r="Y202" s="301">
        <v>0</v>
      </c>
      <c r="Z202" s="303">
        <v>3.2000000000000001E-2</v>
      </c>
      <c r="AA202" s="301">
        <v>145</v>
      </c>
      <c r="AB202" s="301">
        <v>6</v>
      </c>
      <c r="AC202" s="301">
        <v>0</v>
      </c>
      <c r="AD202" s="301">
        <v>0</v>
      </c>
      <c r="AE202" s="301">
        <v>0</v>
      </c>
    </row>
    <row r="203" spans="1:31" x14ac:dyDescent="0.25">
      <c r="A203" s="148">
        <v>5730</v>
      </c>
      <c r="B203" s="293" t="s">
        <v>292</v>
      </c>
      <c r="C203" s="301">
        <v>1428</v>
      </c>
      <c r="D203" s="304">
        <v>55.5</v>
      </c>
      <c r="E203" s="305">
        <v>0.9</v>
      </c>
      <c r="F203" s="300">
        <v>6739873.6600000001</v>
      </c>
      <c r="G203" s="301">
        <v>2320284.5099999998</v>
      </c>
      <c r="H203" s="301">
        <v>43466.25</v>
      </c>
      <c r="I203" s="301">
        <v>6222.75</v>
      </c>
      <c r="J203" s="301">
        <v>33147.35</v>
      </c>
      <c r="K203" s="301">
        <v>468.13</v>
      </c>
      <c r="L203" s="301">
        <v>-105018.94</v>
      </c>
      <c r="M203" s="301">
        <v>2900</v>
      </c>
      <c r="N203" s="302">
        <f t="shared" si="6"/>
        <v>4905.2604142343835</v>
      </c>
      <c r="O203" s="301">
        <v>442888.45</v>
      </c>
      <c r="P203" s="301">
        <v>-29522.95</v>
      </c>
      <c r="Q203" s="301">
        <v>11986.35</v>
      </c>
      <c r="R203" s="301">
        <v>-68619.23</v>
      </c>
      <c r="S203" s="301">
        <v>225071.75</v>
      </c>
      <c r="T203" s="301"/>
      <c r="U203" s="301">
        <v>346760</v>
      </c>
      <c r="V203" s="301">
        <v>27007.3</v>
      </c>
      <c r="W203" s="302">
        <f t="shared" si="7"/>
        <v>10001820.640414236</v>
      </c>
      <c r="X203" s="301">
        <v>584</v>
      </c>
      <c r="Y203" s="301">
        <v>0</v>
      </c>
      <c r="Z203" s="303">
        <v>7.0000000000000007E-2</v>
      </c>
      <c r="AA203" s="301">
        <v>155</v>
      </c>
      <c r="AB203" s="301">
        <v>79</v>
      </c>
      <c r="AC203" s="301">
        <v>0</v>
      </c>
      <c r="AD203" s="301">
        <v>0</v>
      </c>
      <c r="AE203" s="301">
        <v>0</v>
      </c>
    </row>
    <row r="204" spans="1:31" x14ac:dyDescent="0.25">
      <c r="A204" s="148">
        <v>5731</v>
      </c>
      <c r="B204" s="293" t="s">
        <v>293</v>
      </c>
      <c r="C204" s="301">
        <v>1374</v>
      </c>
      <c r="D204" s="304">
        <v>71</v>
      </c>
      <c r="E204" s="305">
        <v>1.5</v>
      </c>
      <c r="F204" s="300">
        <v>4528967.8</v>
      </c>
      <c r="G204" s="301">
        <v>454480.67</v>
      </c>
      <c r="H204" s="301">
        <v>26345.05</v>
      </c>
      <c r="I204" s="301">
        <v>4101</v>
      </c>
      <c r="J204" s="301"/>
      <c r="K204" s="301">
        <v>1504</v>
      </c>
      <c r="L204" s="301">
        <v>-26310.7</v>
      </c>
      <c r="M204" s="301">
        <v>-6400</v>
      </c>
      <c r="N204" s="302">
        <f t="shared" si="6"/>
        <v>3005.6109769727855</v>
      </c>
      <c r="O204" s="301">
        <v>476348.15</v>
      </c>
      <c r="P204" s="301">
        <v>26114.86</v>
      </c>
      <c r="Q204" s="301">
        <v>5392.5</v>
      </c>
      <c r="R204" s="301">
        <v>-9785.5499999999993</v>
      </c>
      <c r="S204" s="301">
        <v>103884</v>
      </c>
      <c r="T204" s="301">
        <v>123143</v>
      </c>
      <c r="U204" s="301">
        <v>196355.5</v>
      </c>
      <c r="V204" s="301">
        <v>33673.800000000003</v>
      </c>
      <c r="W204" s="302">
        <f t="shared" si="7"/>
        <v>5940819.6909769727</v>
      </c>
      <c r="X204" s="301">
        <v>313</v>
      </c>
      <c r="Y204" s="301">
        <v>1370</v>
      </c>
      <c r="Z204" s="303">
        <v>0.13500000000000001</v>
      </c>
      <c r="AA204" s="301">
        <v>162</v>
      </c>
      <c r="AB204" s="301">
        <v>46</v>
      </c>
      <c r="AC204" s="301">
        <v>0</v>
      </c>
      <c r="AD204" s="301">
        <v>0</v>
      </c>
      <c r="AE204" s="301">
        <v>0</v>
      </c>
    </row>
    <row r="205" spans="1:31" x14ac:dyDescent="0.25">
      <c r="A205" s="148">
        <v>5732</v>
      </c>
      <c r="B205" s="293" t="s">
        <v>294</v>
      </c>
      <c r="C205" s="301">
        <v>1179</v>
      </c>
      <c r="D205" s="304">
        <v>63</v>
      </c>
      <c r="E205" s="305">
        <v>1</v>
      </c>
      <c r="F205" s="300">
        <v>3545098.19</v>
      </c>
      <c r="G205" s="301">
        <v>909433.86</v>
      </c>
      <c r="H205" s="301">
        <v>147940.95000000001</v>
      </c>
      <c r="I205" s="301">
        <v>6178.15</v>
      </c>
      <c r="J205" s="301">
        <v>143917.35</v>
      </c>
      <c r="K205" s="301">
        <v>1713.67</v>
      </c>
      <c r="L205" s="301">
        <v>-2691.49</v>
      </c>
      <c r="M205" s="301">
        <v>-300</v>
      </c>
      <c r="N205" s="302">
        <f t="shared" si="6"/>
        <v>15214.52072505847</v>
      </c>
      <c r="O205" s="301">
        <v>401240.65</v>
      </c>
      <c r="P205" s="301">
        <v>100208.98</v>
      </c>
      <c r="Q205" s="301">
        <v>26159.25</v>
      </c>
      <c r="R205" s="301">
        <v>-6606.4</v>
      </c>
      <c r="S205" s="301">
        <v>172865</v>
      </c>
      <c r="T205" s="301">
        <v>241311.7</v>
      </c>
      <c r="U205" s="301">
        <v>123400.35</v>
      </c>
      <c r="V205" s="301">
        <v>179411.1</v>
      </c>
      <c r="W205" s="302">
        <f t="shared" si="7"/>
        <v>6004495.830725058</v>
      </c>
      <c r="X205" s="301">
        <v>152</v>
      </c>
      <c r="Y205" s="301">
        <v>0</v>
      </c>
      <c r="Z205" s="303">
        <v>0.108</v>
      </c>
      <c r="AA205" s="301">
        <v>147</v>
      </c>
      <c r="AB205" s="301">
        <v>16</v>
      </c>
      <c r="AC205" s="301">
        <v>0</v>
      </c>
      <c r="AD205" s="301">
        <v>0</v>
      </c>
      <c r="AE205" s="301">
        <v>0</v>
      </c>
    </row>
    <row r="206" spans="1:31" x14ac:dyDescent="0.25">
      <c r="A206" s="148">
        <v>5741</v>
      </c>
      <c r="B206" s="293" t="s">
        <v>295</v>
      </c>
      <c r="C206" s="301">
        <v>270</v>
      </c>
      <c r="D206" s="304">
        <v>80</v>
      </c>
      <c r="E206" s="305">
        <v>1.2</v>
      </c>
      <c r="F206" s="300">
        <v>486548.73</v>
      </c>
      <c r="G206" s="301">
        <v>97963.199999999997</v>
      </c>
      <c r="H206" s="301">
        <v>-4141.3</v>
      </c>
      <c r="I206" s="301">
        <v>1011.45</v>
      </c>
      <c r="J206" s="301"/>
      <c r="K206" s="301">
        <v>20297.96</v>
      </c>
      <c r="L206" s="301">
        <v>-329.47</v>
      </c>
      <c r="M206" s="301">
        <v>0</v>
      </c>
      <c r="N206" s="302">
        <f t="shared" si="6"/>
        <v>-308.97641947898904</v>
      </c>
      <c r="O206" s="301">
        <v>54323.55</v>
      </c>
      <c r="P206" s="301">
        <v>-1377.66</v>
      </c>
      <c r="Q206" s="301"/>
      <c r="R206" s="301">
        <v>0</v>
      </c>
      <c r="S206" s="301">
        <v>14360.45</v>
      </c>
      <c r="T206" s="301"/>
      <c r="U206" s="301">
        <v>23241.35</v>
      </c>
      <c r="V206" s="301">
        <v>6563.75</v>
      </c>
      <c r="W206" s="302">
        <f t="shared" si="7"/>
        <v>698153.03358052077</v>
      </c>
      <c r="X206" s="301">
        <v>581</v>
      </c>
      <c r="Y206" s="301">
        <v>25</v>
      </c>
      <c r="Z206" s="303">
        <v>0.30199999999999999</v>
      </c>
      <c r="AA206" s="301">
        <v>28</v>
      </c>
      <c r="AB206" s="301">
        <v>28</v>
      </c>
      <c r="AC206" s="301">
        <v>0</v>
      </c>
      <c r="AD206" s="301">
        <v>0</v>
      </c>
      <c r="AE206" s="301">
        <v>0</v>
      </c>
    </row>
    <row r="207" spans="1:31" x14ac:dyDescent="0.25">
      <c r="A207" s="148">
        <v>5742</v>
      </c>
      <c r="B207" s="293" t="s">
        <v>296</v>
      </c>
      <c r="C207" s="301">
        <v>373</v>
      </c>
      <c r="D207" s="304">
        <v>76</v>
      </c>
      <c r="E207" s="305">
        <v>0.5</v>
      </c>
      <c r="F207" s="300">
        <v>604736.23</v>
      </c>
      <c r="G207" s="301">
        <v>55029.14</v>
      </c>
      <c r="H207" s="301">
        <v>712.75</v>
      </c>
      <c r="I207" s="301">
        <v>575.4</v>
      </c>
      <c r="J207" s="301"/>
      <c r="K207" s="301">
        <v>6902.44</v>
      </c>
      <c r="L207" s="301">
        <v>-6745.4</v>
      </c>
      <c r="M207" s="301">
        <v>0</v>
      </c>
      <c r="N207" s="302">
        <f t="shared" si="6"/>
        <v>127.16519154331986</v>
      </c>
      <c r="O207" s="301">
        <v>30243.35</v>
      </c>
      <c r="P207" s="301">
        <v>6380</v>
      </c>
      <c r="Q207" s="301">
        <v>1672.3</v>
      </c>
      <c r="R207" s="301">
        <v>0</v>
      </c>
      <c r="S207" s="301">
        <v>32945</v>
      </c>
      <c r="T207" s="301">
        <v>59.6</v>
      </c>
      <c r="U207" s="301">
        <v>23494.05</v>
      </c>
      <c r="V207" s="301">
        <v>3271.45</v>
      </c>
      <c r="W207" s="302">
        <f t="shared" si="7"/>
        <v>759403.47519154323</v>
      </c>
      <c r="X207" s="301">
        <v>543</v>
      </c>
      <c r="Y207" s="301">
        <v>0</v>
      </c>
      <c r="Z207" s="303">
        <v>7.0999999999999994E-2</v>
      </c>
      <c r="AA207" s="301">
        <v>55</v>
      </c>
      <c r="AB207" s="301">
        <v>28</v>
      </c>
      <c r="AC207" s="301">
        <v>0</v>
      </c>
      <c r="AD207" s="301">
        <v>0</v>
      </c>
      <c r="AE207" s="301">
        <v>0</v>
      </c>
    </row>
    <row r="208" spans="1:31" x14ac:dyDescent="0.25">
      <c r="A208" s="148">
        <v>5743</v>
      </c>
      <c r="B208" s="293" t="s">
        <v>297</v>
      </c>
      <c r="C208" s="301">
        <v>697</v>
      </c>
      <c r="D208" s="304">
        <v>71</v>
      </c>
      <c r="E208" s="305">
        <v>0.8</v>
      </c>
      <c r="F208" s="300">
        <v>1124616.8500000001</v>
      </c>
      <c r="G208" s="301">
        <v>146863.74</v>
      </c>
      <c r="H208" s="301">
        <v>14770.85</v>
      </c>
      <c r="I208" s="301">
        <v>697.8</v>
      </c>
      <c r="J208" s="301"/>
      <c r="K208" s="301">
        <v>5990.31</v>
      </c>
      <c r="L208" s="301">
        <v>-15106.62</v>
      </c>
      <c r="M208" s="301">
        <v>0</v>
      </c>
      <c r="N208" s="302">
        <f t="shared" si="6"/>
        <v>1527.0534022952099</v>
      </c>
      <c r="O208" s="301">
        <v>82302.899999999994</v>
      </c>
      <c r="P208" s="301">
        <v>10919.29</v>
      </c>
      <c r="Q208" s="301"/>
      <c r="R208" s="301">
        <v>-330.45</v>
      </c>
      <c r="S208" s="301">
        <v>31257.95</v>
      </c>
      <c r="T208" s="301">
        <v>310.60000000000002</v>
      </c>
      <c r="U208" s="301">
        <v>24068.15</v>
      </c>
      <c r="V208" s="301">
        <v>35407.15</v>
      </c>
      <c r="W208" s="302">
        <f t="shared" si="7"/>
        <v>1463295.5734022951</v>
      </c>
      <c r="X208" s="301">
        <v>756</v>
      </c>
      <c r="Y208" s="301">
        <v>0</v>
      </c>
      <c r="Z208" s="303">
        <v>5.1999999999999998E-2</v>
      </c>
      <c r="AA208" s="301">
        <v>82</v>
      </c>
      <c r="AB208" s="301">
        <v>50</v>
      </c>
      <c r="AC208" s="301">
        <v>0</v>
      </c>
      <c r="AD208" s="301">
        <v>0</v>
      </c>
      <c r="AE208" s="301">
        <v>0</v>
      </c>
    </row>
    <row r="209" spans="1:31" x14ac:dyDescent="0.25">
      <c r="A209" s="148">
        <v>5744</v>
      </c>
      <c r="B209" s="293" t="s">
        <v>298</v>
      </c>
      <c r="C209" s="301">
        <v>1209</v>
      </c>
      <c r="D209" s="304">
        <v>65</v>
      </c>
      <c r="E209" s="305">
        <v>1</v>
      </c>
      <c r="F209" s="300">
        <v>1506484.29</v>
      </c>
      <c r="G209" s="301">
        <v>201325.09</v>
      </c>
      <c r="H209" s="301">
        <f>2981618.75-1310000</f>
        <v>1671618.75</v>
      </c>
      <c r="I209" s="301">
        <v>7030.6</v>
      </c>
      <c r="J209" s="301"/>
      <c r="K209" s="301">
        <v>3443.3</v>
      </c>
      <c r="L209" s="301">
        <v>-34368.97</v>
      </c>
      <c r="M209" s="301">
        <v>0</v>
      </c>
      <c r="N209" s="302">
        <f t="shared" si="6"/>
        <v>165714.99136499583</v>
      </c>
      <c r="O209" s="301">
        <v>201237.1</v>
      </c>
      <c r="P209" s="301">
        <v>114585.76</v>
      </c>
      <c r="Q209" s="301"/>
      <c r="R209" s="301">
        <v>-1013.6</v>
      </c>
      <c r="S209" s="301">
        <v>76830.600000000006</v>
      </c>
      <c r="T209" s="301">
        <v>16177.2</v>
      </c>
      <c r="U209" s="301">
        <v>69474.649999999994</v>
      </c>
      <c r="V209" s="301">
        <v>1417599.85</v>
      </c>
      <c r="W209" s="302">
        <f t="shared" si="7"/>
        <v>5416139.6113649961</v>
      </c>
      <c r="X209" s="301">
        <v>902</v>
      </c>
      <c r="Y209" s="301">
        <v>1209</v>
      </c>
      <c r="Z209" s="303">
        <v>0.23899999999999999</v>
      </c>
      <c r="AA209" s="301">
        <v>146</v>
      </c>
      <c r="AB209" s="301">
        <v>77</v>
      </c>
      <c r="AC209" s="301">
        <v>0</v>
      </c>
      <c r="AD209" s="301">
        <v>0</v>
      </c>
      <c r="AE209" s="301">
        <v>0</v>
      </c>
    </row>
    <row r="210" spans="1:31" x14ac:dyDescent="0.25">
      <c r="A210" s="148">
        <v>5745</v>
      </c>
      <c r="B210" s="293" t="s">
        <v>299</v>
      </c>
      <c r="C210" s="301">
        <v>1168</v>
      </c>
      <c r="D210" s="304">
        <v>76.5</v>
      </c>
      <c r="E210" s="305">
        <v>1</v>
      </c>
      <c r="F210" s="300">
        <v>1822857.97</v>
      </c>
      <c r="G210" s="301">
        <v>239530.63</v>
      </c>
      <c r="H210" s="301">
        <v>48808.75</v>
      </c>
      <c r="I210" s="301">
        <v>3163.75</v>
      </c>
      <c r="J210" s="301"/>
      <c r="K210" s="301">
        <v>17659.25</v>
      </c>
      <c r="L210" s="301">
        <v>-42261.5</v>
      </c>
      <c r="M210" s="301">
        <v>0</v>
      </c>
      <c r="N210" s="302">
        <f t="shared" si="6"/>
        <v>5130.685803272283</v>
      </c>
      <c r="O210" s="301">
        <v>164149.65</v>
      </c>
      <c r="P210" s="301">
        <v>3018.82</v>
      </c>
      <c r="Q210" s="301"/>
      <c r="R210" s="301">
        <v>0</v>
      </c>
      <c r="S210" s="301">
        <v>19525</v>
      </c>
      <c r="T210" s="301"/>
      <c r="U210" s="301">
        <v>13311.5</v>
      </c>
      <c r="V210" s="301">
        <v>208052.6</v>
      </c>
      <c r="W210" s="302">
        <f t="shared" si="7"/>
        <v>2502947.1058032722</v>
      </c>
      <c r="X210" s="301">
        <v>2229</v>
      </c>
      <c r="Y210" s="301">
        <v>0</v>
      </c>
      <c r="Z210" s="303">
        <v>0.42499999999999999</v>
      </c>
      <c r="AA210" s="301">
        <v>123</v>
      </c>
      <c r="AB210" s="301">
        <v>27</v>
      </c>
      <c r="AC210" s="301">
        <v>0</v>
      </c>
      <c r="AD210" s="301">
        <v>0</v>
      </c>
      <c r="AE210" s="301">
        <v>0</v>
      </c>
    </row>
    <row r="211" spans="1:31" x14ac:dyDescent="0.25">
      <c r="A211" s="148">
        <v>5746</v>
      </c>
      <c r="B211" s="293" t="s">
        <v>300</v>
      </c>
      <c r="C211" s="301">
        <v>1041</v>
      </c>
      <c r="D211" s="304">
        <v>72</v>
      </c>
      <c r="E211" s="305">
        <v>1.2</v>
      </c>
      <c r="F211" s="300">
        <v>2153007.5099999998</v>
      </c>
      <c r="G211" s="301">
        <v>217945</v>
      </c>
      <c r="H211" s="301">
        <v>42099.15</v>
      </c>
      <c r="I211" s="301">
        <v>3962</v>
      </c>
      <c r="J211" s="301"/>
      <c r="K211" s="301"/>
      <c r="L211" s="301">
        <v>-5210.66</v>
      </c>
      <c r="M211" s="301">
        <v>-29</v>
      </c>
      <c r="N211" s="302">
        <f t="shared" si="6"/>
        <v>4547.1218122544642</v>
      </c>
      <c r="O211" s="301">
        <v>249981.95</v>
      </c>
      <c r="P211" s="301">
        <v>29360.47</v>
      </c>
      <c r="Q211" s="301">
        <v>20256.3</v>
      </c>
      <c r="R211" s="301">
        <v>-849.55</v>
      </c>
      <c r="S211" s="301">
        <v>156258.20000000001</v>
      </c>
      <c r="T211" s="301">
        <v>1202.2</v>
      </c>
      <c r="U211" s="301">
        <v>42615.15</v>
      </c>
      <c r="V211" s="301">
        <v>9548.9500000000007</v>
      </c>
      <c r="W211" s="302">
        <f t="shared" si="7"/>
        <v>2924694.791812255</v>
      </c>
      <c r="X211" s="301">
        <v>923</v>
      </c>
      <c r="Y211" s="301">
        <v>0</v>
      </c>
      <c r="Z211" s="303">
        <v>6.3E-2</v>
      </c>
      <c r="AA211" s="301">
        <v>127</v>
      </c>
      <c r="AB211" s="301">
        <v>55</v>
      </c>
      <c r="AC211" s="301">
        <v>0</v>
      </c>
      <c r="AD211" s="301">
        <v>0</v>
      </c>
      <c r="AE211" s="301">
        <v>0</v>
      </c>
    </row>
    <row r="212" spans="1:31" x14ac:dyDescent="0.25">
      <c r="A212" s="148">
        <v>5747</v>
      </c>
      <c r="B212" s="293" t="s">
        <v>301</v>
      </c>
      <c r="C212" s="301">
        <v>200</v>
      </c>
      <c r="D212" s="304">
        <v>69</v>
      </c>
      <c r="E212" s="305">
        <v>1</v>
      </c>
      <c r="F212" s="300">
        <v>344949.72</v>
      </c>
      <c r="G212" s="301">
        <v>39789.56</v>
      </c>
      <c r="H212" s="301">
        <v>89543.95</v>
      </c>
      <c r="I212" s="301">
        <v>565.04999999999995</v>
      </c>
      <c r="J212" s="301"/>
      <c r="K212" s="301"/>
      <c r="L212" s="301">
        <v>-465.32</v>
      </c>
      <c r="M212" s="301">
        <v>0</v>
      </c>
      <c r="N212" s="302">
        <f t="shared" si="6"/>
        <v>8895.4921746512518</v>
      </c>
      <c r="O212" s="301">
        <v>35978.300000000003</v>
      </c>
      <c r="P212" s="301">
        <v>-822.87</v>
      </c>
      <c r="Q212" s="301"/>
      <c r="R212" s="301">
        <v>-11.7</v>
      </c>
      <c r="S212" s="301">
        <v>11040.75</v>
      </c>
      <c r="T212" s="301">
        <v>3119.1</v>
      </c>
      <c r="U212" s="301">
        <v>19831.25</v>
      </c>
      <c r="V212" s="301">
        <v>369.35</v>
      </c>
      <c r="W212" s="302">
        <f t="shared" si="7"/>
        <v>552782.63217465114</v>
      </c>
      <c r="X212" s="301">
        <v>416</v>
      </c>
      <c r="Y212" s="301">
        <v>0</v>
      </c>
      <c r="Z212" s="303">
        <v>2.1000000000000001E-2</v>
      </c>
      <c r="AA212" s="301">
        <v>25</v>
      </c>
      <c r="AB212" s="301">
        <v>25</v>
      </c>
      <c r="AC212" s="301">
        <v>0</v>
      </c>
      <c r="AD212" s="301">
        <v>0</v>
      </c>
      <c r="AE212" s="301">
        <v>0</v>
      </c>
    </row>
    <row r="213" spans="1:31" x14ac:dyDescent="0.25">
      <c r="A213" s="148">
        <v>5748</v>
      </c>
      <c r="B213" s="293" t="s">
        <v>302</v>
      </c>
      <c r="C213" s="301">
        <v>261</v>
      </c>
      <c r="D213" s="304">
        <v>70.5</v>
      </c>
      <c r="E213" s="305">
        <v>0.6</v>
      </c>
      <c r="F213" s="300">
        <v>387704.52</v>
      </c>
      <c r="G213" s="301">
        <v>51446.38</v>
      </c>
      <c r="H213" s="301">
        <v>661.6</v>
      </c>
      <c r="I213" s="301">
        <v>466.95</v>
      </c>
      <c r="J213" s="301"/>
      <c r="K213" s="301"/>
      <c r="L213" s="301">
        <v>-287.47000000000003</v>
      </c>
      <c r="M213" s="301">
        <v>0</v>
      </c>
      <c r="N213" s="302">
        <f t="shared" si="6"/>
        <v>111.40960052494944</v>
      </c>
      <c r="O213" s="301">
        <v>24766.65</v>
      </c>
      <c r="P213" s="301">
        <v>1848.5</v>
      </c>
      <c r="Q213" s="301"/>
      <c r="R213" s="301">
        <v>0</v>
      </c>
      <c r="S213" s="301">
        <v>21450</v>
      </c>
      <c r="T213" s="301"/>
      <c r="U213" s="301">
        <v>15283</v>
      </c>
      <c r="V213" s="301">
        <v>14329.75</v>
      </c>
      <c r="W213" s="302">
        <f t="shared" si="7"/>
        <v>517781.28960052499</v>
      </c>
      <c r="X213" s="301">
        <v>548</v>
      </c>
      <c r="Y213" s="301">
        <v>1</v>
      </c>
      <c r="Z213" s="303">
        <v>0.13</v>
      </c>
      <c r="AA213" s="301">
        <v>43</v>
      </c>
      <c r="AB213" s="301">
        <v>43</v>
      </c>
      <c r="AC213" s="301">
        <v>0</v>
      </c>
      <c r="AD213" s="301">
        <v>0</v>
      </c>
      <c r="AE213" s="301">
        <v>0</v>
      </c>
    </row>
    <row r="214" spans="1:31" x14ac:dyDescent="0.25">
      <c r="A214" s="148">
        <v>5749</v>
      </c>
      <c r="B214" s="293" t="s">
        <v>303</v>
      </c>
      <c r="C214" s="301">
        <v>5442</v>
      </c>
      <c r="D214" s="304">
        <v>70.5</v>
      </c>
      <c r="E214" s="305">
        <v>1</v>
      </c>
      <c r="F214" s="300">
        <v>8610030.1899999995</v>
      </c>
      <c r="G214" s="301">
        <v>960232.72</v>
      </c>
      <c r="H214" s="301">
        <v>264853.75</v>
      </c>
      <c r="I214" s="301">
        <v>53432.1</v>
      </c>
      <c r="J214" s="301"/>
      <c r="K214" s="301">
        <v>59902.16</v>
      </c>
      <c r="L214" s="301">
        <v>-286353.61</v>
      </c>
      <c r="M214" s="301">
        <v>-450</v>
      </c>
      <c r="N214" s="302">
        <f t="shared" si="6"/>
        <v>31420.937841694191</v>
      </c>
      <c r="O214" s="301">
        <v>920782.9</v>
      </c>
      <c r="P214" s="301">
        <v>287525.40999999997</v>
      </c>
      <c r="Q214" s="301">
        <v>92824.45</v>
      </c>
      <c r="R214" s="301">
        <v>-1123.07</v>
      </c>
      <c r="S214" s="301">
        <v>340511.05</v>
      </c>
      <c r="T214" s="301">
        <v>379.3</v>
      </c>
      <c r="U214" s="301">
        <v>281206</v>
      </c>
      <c r="V214" s="301">
        <v>728559.75</v>
      </c>
      <c r="W214" s="302">
        <f t="shared" si="7"/>
        <v>12343734.037841696</v>
      </c>
      <c r="X214" s="301">
        <v>1880</v>
      </c>
      <c r="Y214" s="301">
        <v>0</v>
      </c>
      <c r="Z214" s="303">
        <v>4.2999999999999997E-2</v>
      </c>
      <c r="AA214" s="301">
        <v>730</v>
      </c>
      <c r="AB214" s="301">
        <v>124</v>
      </c>
      <c r="AC214" s="301">
        <v>0</v>
      </c>
      <c r="AD214" s="301">
        <v>0</v>
      </c>
      <c r="AE214" s="301">
        <v>0</v>
      </c>
    </row>
    <row r="215" spans="1:31" x14ac:dyDescent="0.25">
      <c r="A215" s="148">
        <v>5750</v>
      </c>
      <c r="B215" s="293" t="s">
        <v>304</v>
      </c>
      <c r="C215" s="301">
        <v>194</v>
      </c>
      <c r="D215" s="304">
        <v>80</v>
      </c>
      <c r="E215" s="305">
        <v>0.6</v>
      </c>
      <c r="F215" s="300">
        <v>407245.19</v>
      </c>
      <c r="G215" s="301">
        <v>64759.56</v>
      </c>
      <c r="H215" s="301">
        <v>241.35</v>
      </c>
      <c r="I215" s="301">
        <v>44.6</v>
      </c>
      <c r="J215" s="301"/>
      <c r="K215" s="301">
        <v>18010.71</v>
      </c>
      <c r="L215" s="301">
        <v>-23215.57</v>
      </c>
      <c r="M215" s="301">
        <v>0</v>
      </c>
      <c r="N215" s="302">
        <f t="shared" si="6"/>
        <v>28.228767241246992</v>
      </c>
      <c r="O215" s="301">
        <v>14646.6</v>
      </c>
      <c r="P215" s="301">
        <v>70.900000000000006</v>
      </c>
      <c r="Q215" s="301">
        <v>4.4000000000000004</v>
      </c>
      <c r="R215" s="301">
        <v>-471.25</v>
      </c>
      <c r="S215" s="301">
        <v>23037.05</v>
      </c>
      <c r="T215" s="301"/>
      <c r="U215" s="301">
        <v>41629.550000000003</v>
      </c>
      <c r="V215" s="301">
        <v>7423.95</v>
      </c>
      <c r="W215" s="302">
        <f t="shared" si="7"/>
        <v>553455.26876724116</v>
      </c>
      <c r="X215" s="301">
        <v>692</v>
      </c>
      <c r="Y215" s="301">
        <v>0</v>
      </c>
      <c r="Z215" s="303">
        <v>0.35199999999999998</v>
      </c>
      <c r="AA215" s="301">
        <v>21</v>
      </c>
      <c r="AB215" s="301">
        <v>21</v>
      </c>
      <c r="AC215" s="301">
        <v>0</v>
      </c>
      <c r="AD215" s="301">
        <v>0</v>
      </c>
      <c r="AE215" s="301">
        <v>0</v>
      </c>
    </row>
    <row r="216" spans="1:31" x14ac:dyDescent="0.25">
      <c r="A216" s="148">
        <v>5752</v>
      </c>
      <c r="B216" s="293" t="s">
        <v>305</v>
      </c>
      <c r="C216" s="301">
        <v>403</v>
      </c>
      <c r="D216" s="304">
        <v>74</v>
      </c>
      <c r="E216" s="305">
        <v>0.7</v>
      </c>
      <c r="F216" s="300">
        <v>584516.81999999995</v>
      </c>
      <c r="G216" s="301">
        <v>119742.45</v>
      </c>
      <c r="H216" s="301">
        <v>1164.8</v>
      </c>
      <c r="I216" s="301">
        <v>1508.75</v>
      </c>
      <c r="J216" s="301"/>
      <c r="K216" s="301">
        <v>2411.79</v>
      </c>
      <c r="L216" s="301">
        <v>-2366.36</v>
      </c>
      <c r="M216" s="301">
        <v>0</v>
      </c>
      <c r="N216" s="302">
        <f t="shared" si="6"/>
        <v>263.9308293681969</v>
      </c>
      <c r="O216" s="301">
        <v>44989.1</v>
      </c>
      <c r="P216" s="301">
        <v>8943.2099999999991</v>
      </c>
      <c r="Q216" s="301">
        <v>1379.4</v>
      </c>
      <c r="R216" s="301">
        <v>-27.65</v>
      </c>
      <c r="S216" s="301">
        <v>25025</v>
      </c>
      <c r="T216" s="301">
        <v>24742</v>
      </c>
      <c r="U216" s="301">
        <v>24609.3</v>
      </c>
      <c r="V216" s="301">
        <v>45637.45</v>
      </c>
      <c r="W216" s="302">
        <f t="shared" si="7"/>
        <v>882539.99082936812</v>
      </c>
      <c r="X216" s="301">
        <v>451</v>
      </c>
      <c r="Y216" s="301">
        <v>0</v>
      </c>
      <c r="Z216" s="303">
        <v>0.13500000000000001</v>
      </c>
      <c r="AA216" s="301">
        <v>41</v>
      </c>
      <c r="AB216" s="301">
        <v>35</v>
      </c>
      <c r="AC216" s="301">
        <v>0</v>
      </c>
      <c r="AD216" s="301">
        <v>0</v>
      </c>
      <c r="AE216" s="301">
        <v>0</v>
      </c>
    </row>
    <row r="217" spans="1:31" x14ac:dyDescent="0.25">
      <c r="A217" s="148">
        <v>5754</v>
      </c>
      <c r="B217" s="293" t="s">
        <v>306</v>
      </c>
      <c r="C217" s="301">
        <v>348</v>
      </c>
      <c r="D217" s="304">
        <v>79</v>
      </c>
      <c r="E217" s="305">
        <v>1</v>
      </c>
      <c r="F217" s="300">
        <v>593779.30000000005</v>
      </c>
      <c r="G217" s="301">
        <v>64780.11</v>
      </c>
      <c r="H217" s="301">
        <v>904.7</v>
      </c>
      <c r="I217" s="301">
        <v>1684.4</v>
      </c>
      <c r="J217" s="301"/>
      <c r="K217" s="301">
        <v>140.09</v>
      </c>
      <c r="L217" s="301">
        <v>-10737.48</v>
      </c>
      <c r="M217" s="301">
        <v>0</v>
      </c>
      <c r="N217" s="302">
        <f t="shared" si="6"/>
        <v>255.59398938385243</v>
      </c>
      <c r="O217" s="301">
        <v>49461.8</v>
      </c>
      <c r="P217" s="301">
        <v>5426.57</v>
      </c>
      <c r="Q217" s="301">
        <v>2096.5</v>
      </c>
      <c r="R217" s="301">
        <v>-21.6</v>
      </c>
      <c r="S217" s="301">
        <v>14099</v>
      </c>
      <c r="T217" s="301"/>
      <c r="U217" s="301">
        <v>18081.849999999999</v>
      </c>
      <c r="V217" s="301">
        <v>21413.200000000001</v>
      </c>
      <c r="W217" s="302">
        <f t="shared" si="7"/>
        <v>761364.03398938384</v>
      </c>
      <c r="X217" s="301">
        <v>932</v>
      </c>
      <c r="Y217" s="301">
        <v>348</v>
      </c>
      <c r="Z217" s="303">
        <v>0.152</v>
      </c>
      <c r="AA217" s="301">
        <v>39</v>
      </c>
      <c r="AB217" s="301">
        <v>28</v>
      </c>
      <c r="AC217" s="301">
        <v>0</v>
      </c>
      <c r="AD217" s="301">
        <v>0</v>
      </c>
      <c r="AE217" s="301">
        <v>0</v>
      </c>
    </row>
    <row r="218" spans="1:31" x14ac:dyDescent="0.25">
      <c r="A218" s="148">
        <v>5755</v>
      </c>
      <c r="B218" s="293" t="s">
        <v>307</v>
      </c>
      <c r="C218" s="301">
        <v>463</v>
      </c>
      <c r="D218" s="304">
        <v>78.5</v>
      </c>
      <c r="E218" s="305">
        <v>0.7</v>
      </c>
      <c r="F218" s="300">
        <v>659893.15</v>
      </c>
      <c r="G218" s="301">
        <v>78698.570000000007</v>
      </c>
      <c r="H218" s="301">
        <v>9222.1</v>
      </c>
      <c r="I218" s="301">
        <v>938.7</v>
      </c>
      <c r="J218" s="301"/>
      <c r="K218" s="301"/>
      <c r="L218" s="301">
        <v>-33869.65</v>
      </c>
      <c r="M218" s="301">
        <v>0</v>
      </c>
      <c r="N218" s="302">
        <f t="shared" si="6"/>
        <v>1003.0664738061287</v>
      </c>
      <c r="O218" s="301">
        <v>51663.05</v>
      </c>
      <c r="P218" s="301">
        <v>19283.939999999999</v>
      </c>
      <c r="Q218" s="301">
        <v>4088.1</v>
      </c>
      <c r="R218" s="301">
        <v>0</v>
      </c>
      <c r="S218" s="301">
        <v>45872.9</v>
      </c>
      <c r="T218" s="301"/>
      <c r="U218" s="301">
        <v>34280.1</v>
      </c>
      <c r="V218" s="301">
        <v>26084.75</v>
      </c>
      <c r="W218" s="302">
        <f t="shared" si="7"/>
        <v>897158.77647380601</v>
      </c>
      <c r="X218" s="301">
        <v>1060</v>
      </c>
      <c r="Y218" s="301">
        <v>463</v>
      </c>
      <c r="Z218" s="303">
        <v>0.25800000000000001</v>
      </c>
      <c r="AA218" s="301">
        <v>65</v>
      </c>
      <c r="AB218" s="301">
        <v>65</v>
      </c>
      <c r="AC218" s="301">
        <v>0</v>
      </c>
      <c r="AD218" s="301">
        <v>0</v>
      </c>
      <c r="AE218" s="301">
        <v>0</v>
      </c>
    </row>
    <row r="219" spans="1:31" x14ac:dyDescent="0.25">
      <c r="A219" s="148">
        <v>5756</v>
      </c>
      <c r="B219" s="293" t="s">
        <v>308</v>
      </c>
      <c r="C219" s="301">
        <v>489</v>
      </c>
      <c r="D219" s="304">
        <v>72</v>
      </c>
      <c r="E219" s="305">
        <v>1</v>
      </c>
      <c r="F219" s="453">
        <f>1214795.99-200000</f>
        <v>1014795.99</v>
      </c>
      <c r="G219" s="301">
        <v>258914.65</v>
      </c>
      <c r="H219" s="301">
        <v>-3111.6</v>
      </c>
      <c r="I219" s="301">
        <v>521.25</v>
      </c>
      <c r="J219" s="301"/>
      <c r="K219" s="301"/>
      <c r="L219" s="301">
        <v>-10693.65</v>
      </c>
      <c r="M219" s="301">
        <v>0</v>
      </c>
      <c r="N219" s="302">
        <f t="shared" si="6"/>
        <v>-255.71738843631456</v>
      </c>
      <c r="O219" s="301">
        <v>89302.2</v>
      </c>
      <c r="P219" s="301">
        <v>3868.75</v>
      </c>
      <c r="Q219" s="301">
        <v>212.4</v>
      </c>
      <c r="R219" s="301">
        <v>-2628.7</v>
      </c>
      <c r="S219" s="301">
        <v>1263.0999999999999</v>
      </c>
      <c r="T219" s="301">
        <v>8890</v>
      </c>
      <c r="U219" s="301"/>
      <c r="V219" s="301">
        <v>4644.8</v>
      </c>
      <c r="W219" s="302">
        <f t="shared" si="7"/>
        <v>1365723.4726115637</v>
      </c>
      <c r="X219" s="301">
        <v>299</v>
      </c>
      <c r="Y219" s="301">
        <v>0</v>
      </c>
      <c r="Z219" s="303">
        <v>0.128</v>
      </c>
      <c r="AA219" s="301">
        <v>59</v>
      </c>
      <c r="AB219" s="301">
        <v>4</v>
      </c>
      <c r="AC219" s="301">
        <v>0</v>
      </c>
      <c r="AD219" s="301">
        <v>0</v>
      </c>
      <c r="AE219" s="301">
        <v>0</v>
      </c>
    </row>
    <row r="220" spans="1:31" x14ac:dyDescent="0.25">
      <c r="A220" s="148">
        <v>5757</v>
      </c>
      <c r="B220" s="293" t="s">
        <v>309</v>
      </c>
      <c r="C220" s="301">
        <v>7962</v>
      </c>
      <c r="D220" s="304">
        <v>75.5</v>
      </c>
      <c r="E220" s="305">
        <v>1</v>
      </c>
      <c r="F220" s="300">
        <f>13922373.59-1500000</f>
        <v>12422373.59</v>
      </c>
      <c r="G220" s="301">
        <v>1120095.77</v>
      </c>
      <c r="H220" s="301">
        <v>1870234.65</v>
      </c>
      <c r="I220" s="301">
        <v>136999.65</v>
      </c>
      <c r="J220" s="301"/>
      <c r="K220" s="301">
        <v>53153.03</v>
      </c>
      <c r="L220" s="301">
        <v>-246923.51</v>
      </c>
      <c r="M220" s="301">
        <v>-750</v>
      </c>
      <c r="N220" s="302">
        <f t="shared" si="6"/>
        <v>198152.64855166056</v>
      </c>
      <c r="O220" s="301">
        <v>1546393.95</v>
      </c>
      <c r="P220" s="301">
        <v>588455.31999999995</v>
      </c>
      <c r="Q220" s="301">
        <v>185686.35</v>
      </c>
      <c r="R220" s="301">
        <v>-1890.3</v>
      </c>
      <c r="S220" s="301">
        <v>533059.75</v>
      </c>
      <c r="T220" s="301">
        <v>293026.59999999998</v>
      </c>
      <c r="U220" s="301">
        <v>326938.7</v>
      </c>
      <c r="V220" s="301">
        <v>4025622.65</v>
      </c>
      <c r="W220" s="302">
        <f t="shared" si="7"/>
        <v>23050628.848551661</v>
      </c>
      <c r="X220" s="301">
        <v>1162</v>
      </c>
      <c r="Y220" s="301">
        <v>0</v>
      </c>
      <c r="Z220" s="303">
        <v>4.4999999999999998E-2</v>
      </c>
      <c r="AA220" s="301">
        <v>980</v>
      </c>
      <c r="AB220" s="301">
        <v>115</v>
      </c>
      <c r="AC220" s="301">
        <v>362281</v>
      </c>
      <c r="AD220" s="301">
        <v>33706</v>
      </c>
      <c r="AE220" s="301">
        <v>0</v>
      </c>
    </row>
    <row r="221" spans="1:31" x14ac:dyDescent="0.25">
      <c r="A221" s="148">
        <v>5758</v>
      </c>
      <c r="B221" s="293" t="s">
        <v>310</v>
      </c>
      <c r="C221" s="301">
        <v>207</v>
      </c>
      <c r="D221" s="304">
        <v>83</v>
      </c>
      <c r="E221" s="305">
        <v>1</v>
      </c>
      <c r="F221" s="300">
        <v>342184.82</v>
      </c>
      <c r="G221" s="301">
        <v>67764.14</v>
      </c>
      <c r="H221" s="301">
        <v>5037</v>
      </c>
      <c r="I221" s="301">
        <v>1312.1</v>
      </c>
      <c r="J221" s="301"/>
      <c r="K221" s="301">
        <v>8404.0300000000007</v>
      </c>
      <c r="L221" s="301">
        <v>-3404.55</v>
      </c>
      <c r="M221" s="301">
        <v>0</v>
      </c>
      <c r="N221" s="302">
        <f t="shared" si="6"/>
        <v>626.77833919007276</v>
      </c>
      <c r="O221" s="301">
        <v>34825.199999999997</v>
      </c>
      <c r="P221" s="301">
        <v>32965.269999999997</v>
      </c>
      <c r="Q221" s="301"/>
      <c r="R221" s="301">
        <v>-79.7</v>
      </c>
      <c r="S221" s="301">
        <v>12826</v>
      </c>
      <c r="T221" s="301">
        <v>25617.9</v>
      </c>
      <c r="U221" s="301">
        <v>494.15</v>
      </c>
      <c r="V221" s="301">
        <v>445.8</v>
      </c>
      <c r="W221" s="302">
        <f t="shared" si="7"/>
        <v>529018.93833919021</v>
      </c>
      <c r="X221" s="301">
        <v>511</v>
      </c>
      <c r="Y221" s="301">
        <v>207</v>
      </c>
      <c r="Z221" s="303">
        <v>0.217</v>
      </c>
      <c r="AA221" s="301">
        <v>24</v>
      </c>
      <c r="AB221" s="301">
        <v>23</v>
      </c>
      <c r="AC221" s="301">
        <v>0</v>
      </c>
      <c r="AD221" s="301">
        <v>0</v>
      </c>
      <c r="AE221" s="301">
        <v>0</v>
      </c>
    </row>
    <row r="222" spans="1:31" x14ac:dyDescent="0.25">
      <c r="A222" s="148">
        <v>5759</v>
      </c>
      <c r="B222" s="293" t="s">
        <v>311</v>
      </c>
      <c r="C222" s="301">
        <v>228</v>
      </c>
      <c r="D222" s="304">
        <v>79.5</v>
      </c>
      <c r="E222" s="305">
        <v>1</v>
      </c>
      <c r="F222" s="300">
        <v>322893.40999999997</v>
      </c>
      <c r="G222" s="301">
        <v>51057.279999999999</v>
      </c>
      <c r="H222" s="301">
        <v>3314.7</v>
      </c>
      <c r="I222" s="301">
        <v>241.55</v>
      </c>
      <c r="J222" s="301"/>
      <c r="K222" s="301">
        <v>316.04000000000002</v>
      </c>
      <c r="L222" s="301">
        <v>-1421.88</v>
      </c>
      <c r="M222" s="301">
        <v>0</v>
      </c>
      <c r="N222" s="302">
        <f t="shared" si="6"/>
        <v>351.07030425488591</v>
      </c>
      <c r="O222" s="301">
        <v>33890.699999999997</v>
      </c>
      <c r="P222" s="301">
        <v>1506.32</v>
      </c>
      <c r="Q222" s="301">
        <v>289.45</v>
      </c>
      <c r="R222" s="301">
        <v>-643.15</v>
      </c>
      <c r="S222" s="301">
        <v>11825</v>
      </c>
      <c r="T222" s="301"/>
      <c r="U222" s="301">
        <v>10974.4</v>
      </c>
      <c r="V222" s="301">
        <v>2808.4</v>
      </c>
      <c r="W222" s="302">
        <f t="shared" si="7"/>
        <v>437403.29030425486</v>
      </c>
      <c r="X222" s="301">
        <v>605</v>
      </c>
      <c r="Y222" s="301">
        <v>228</v>
      </c>
      <c r="Z222" s="303">
        <v>0.20899999999999999</v>
      </c>
      <c r="AA222" s="301">
        <v>32</v>
      </c>
      <c r="AB222" s="301">
        <v>32</v>
      </c>
      <c r="AC222" s="301">
        <v>0</v>
      </c>
      <c r="AD222" s="301">
        <v>0</v>
      </c>
      <c r="AE222" s="301">
        <v>0</v>
      </c>
    </row>
    <row r="223" spans="1:31" x14ac:dyDescent="0.25">
      <c r="A223" s="148">
        <v>5760</v>
      </c>
      <c r="B223" s="293" t="s">
        <v>312</v>
      </c>
      <c r="C223" s="301">
        <v>508</v>
      </c>
      <c r="D223" s="304">
        <v>76.5</v>
      </c>
      <c r="E223" s="305">
        <v>1</v>
      </c>
      <c r="F223" s="300">
        <v>868074.97</v>
      </c>
      <c r="G223" s="301">
        <v>85672.08</v>
      </c>
      <c r="H223" s="301">
        <v>20765.349999999999</v>
      </c>
      <c r="I223" s="301">
        <v>1565.15</v>
      </c>
      <c r="J223" s="301"/>
      <c r="K223" s="301"/>
      <c r="L223" s="301">
        <v>-6416.27</v>
      </c>
      <c r="M223" s="301">
        <v>0</v>
      </c>
      <c r="N223" s="302">
        <f t="shared" si="6"/>
        <v>2204.4500328052668</v>
      </c>
      <c r="O223" s="301">
        <v>86845.8</v>
      </c>
      <c r="P223" s="301">
        <v>3765.66</v>
      </c>
      <c r="Q223" s="301"/>
      <c r="R223" s="301">
        <v>-1895.85</v>
      </c>
      <c r="S223" s="301">
        <v>40561.449999999997</v>
      </c>
      <c r="T223" s="301">
        <v>5060</v>
      </c>
      <c r="U223" s="301">
        <v>40946.550000000003</v>
      </c>
      <c r="V223" s="301">
        <v>18598.55</v>
      </c>
      <c r="W223" s="302">
        <f t="shared" si="7"/>
        <v>1165747.890032805</v>
      </c>
      <c r="X223" s="301">
        <v>982</v>
      </c>
      <c r="Y223" s="301">
        <v>0</v>
      </c>
      <c r="Z223" s="303">
        <v>0.26900000000000002</v>
      </c>
      <c r="AA223" s="301">
        <v>53</v>
      </c>
      <c r="AB223" s="301">
        <v>37</v>
      </c>
      <c r="AC223" s="301">
        <v>0</v>
      </c>
      <c r="AD223" s="301">
        <v>0</v>
      </c>
      <c r="AE223" s="301">
        <v>0</v>
      </c>
    </row>
    <row r="224" spans="1:31" x14ac:dyDescent="0.25">
      <c r="A224" s="148">
        <v>5761</v>
      </c>
      <c r="B224" s="293" t="s">
        <v>313</v>
      </c>
      <c r="C224" s="301">
        <v>560</v>
      </c>
      <c r="D224" s="304">
        <v>81</v>
      </c>
      <c r="E224" s="305">
        <v>1.1000000000000001</v>
      </c>
      <c r="F224" s="300">
        <v>851461.41</v>
      </c>
      <c r="G224" s="301">
        <v>132073.69</v>
      </c>
      <c r="H224" s="301">
        <v>44950.45</v>
      </c>
      <c r="I224" s="301">
        <v>1674.65</v>
      </c>
      <c r="J224" s="301"/>
      <c r="K224" s="301">
        <v>5067.54</v>
      </c>
      <c r="L224" s="301">
        <v>-10718.36</v>
      </c>
      <c r="M224" s="301">
        <v>0</v>
      </c>
      <c r="N224" s="302">
        <f t="shared" si="6"/>
        <v>4602.7945287632983</v>
      </c>
      <c r="O224" s="301">
        <v>100850.95</v>
      </c>
      <c r="P224" s="301">
        <v>17441.169999999998</v>
      </c>
      <c r="Q224" s="301">
        <v>5328.6</v>
      </c>
      <c r="R224" s="301">
        <v>-85.45</v>
      </c>
      <c r="S224" s="301">
        <v>10573.8</v>
      </c>
      <c r="T224" s="301">
        <v>3745.8</v>
      </c>
      <c r="U224" s="301">
        <v>19116.7</v>
      </c>
      <c r="V224" s="301">
        <v>83872.399999999994</v>
      </c>
      <c r="W224" s="302">
        <f t="shared" si="7"/>
        <v>1269956.1445287634</v>
      </c>
      <c r="X224" s="301">
        <v>696</v>
      </c>
      <c r="Y224" s="301">
        <v>13</v>
      </c>
      <c r="Z224" s="303">
        <v>0.19400000000000001</v>
      </c>
      <c r="AA224" s="301">
        <v>62</v>
      </c>
      <c r="AB224" s="301">
        <v>54</v>
      </c>
      <c r="AC224" s="301">
        <v>0</v>
      </c>
      <c r="AD224" s="301">
        <v>0</v>
      </c>
      <c r="AE224" s="301">
        <v>0</v>
      </c>
    </row>
    <row r="225" spans="1:31" x14ac:dyDescent="0.25">
      <c r="A225" s="148">
        <v>5762</v>
      </c>
      <c r="B225" s="293" t="s">
        <v>314</v>
      </c>
      <c r="C225" s="301">
        <v>133</v>
      </c>
      <c r="D225" s="304">
        <v>76</v>
      </c>
      <c r="E225" s="305">
        <v>1</v>
      </c>
      <c r="F225" s="300">
        <v>212528.45</v>
      </c>
      <c r="G225" s="301">
        <v>24312.53</v>
      </c>
      <c r="H225" s="301">
        <v>6952.25</v>
      </c>
      <c r="I225" s="301">
        <v>302.8</v>
      </c>
      <c r="J225" s="301"/>
      <c r="K225" s="301">
        <v>129.84</v>
      </c>
      <c r="L225" s="301">
        <v>-782.88</v>
      </c>
      <c r="M225" s="301">
        <v>0</v>
      </c>
      <c r="N225" s="302">
        <f t="shared" si="6"/>
        <v>716.21303645255819</v>
      </c>
      <c r="O225" s="301">
        <v>22298.65</v>
      </c>
      <c r="P225" s="301">
        <v>829.97</v>
      </c>
      <c r="Q225" s="301">
        <v>52.5</v>
      </c>
      <c r="R225" s="301">
        <v>0</v>
      </c>
      <c r="S225" s="301">
        <v>20869.099999999999</v>
      </c>
      <c r="T225" s="301"/>
      <c r="U225" s="301">
        <v>0</v>
      </c>
      <c r="V225" s="301">
        <v>13237.85</v>
      </c>
      <c r="W225" s="302">
        <f t="shared" si="7"/>
        <v>301447.27303645248</v>
      </c>
      <c r="X225" s="301">
        <v>147</v>
      </c>
      <c r="Y225" s="301">
        <v>0</v>
      </c>
      <c r="Z225" s="303">
        <v>0.06</v>
      </c>
      <c r="AA225" s="301">
        <v>18</v>
      </c>
      <c r="AB225" s="301">
        <v>11</v>
      </c>
      <c r="AC225" s="301">
        <v>0</v>
      </c>
      <c r="AD225" s="301">
        <v>0</v>
      </c>
      <c r="AE225" s="301">
        <v>0</v>
      </c>
    </row>
    <row r="226" spans="1:31" x14ac:dyDescent="0.25">
      <c r="A226" s="148">
        <v>5763</v>
      </c>
      <c r="B226" s="293" t="s">
        <v>315</v>
      </c>
      <c r="C226" s="301">
        <v>583</v>
      </c>
      <c r="D226" s="304">
        <v>71</v>
      </c>
      <c r="E226" s="305">
        <v>1</v>
      </c>
      <c r="F226" s="300">
        <v>1243052.42</v>
      </c>
      <c r="G226" s="301">
        <v>170206.31</v>
      </c>
      <c r="H226" s="301">
        <v>46805.599999999999</v>
      </c>
      <c r="I226" s="301">
        <v>1058.5999999999999</v>
      </c>
      <c r="J226" s="301"/>
      <c r="K226" s="301">
        <v>2934.32</v>
      </c>
      <c r="L226" s="301">
        <v>-5588.79</v>
      </c>
      <c r="M226" s="301">
        <v>0</v>
      </c>
      <c r="N226" s="302">
        <f t="shared" si="6"/>
        <v>4725.1175414880026</v>
      </c>
      <c r="O226" s="301">
        <v>95687.9</v>
      </c>
      <c r="P226" s="301">
        <v>14880.67</v>
      </c>
      <c r="Q226" s="301">
        <v>-11906.85</v>
      </c>
      <c r="R226" s="301">
        <v>-397.4</v>
      </c>
      <c r="S226" s="301">
        <v>96135.25</v>
      </c>
      <c r="T226" s="301"/>
      <c r="U226" s="301">
        <v>96729.8</v>
      </c>
      <c r="V226" s="301">
        <v>37812.949999999997</v>
      </c>
      <c r="W226" s="302">
        <f t="shared" si="7"/>
        <v>1792135.8975414881</v>
      </c>
      <c r="X226" s="301">
        <v>630</v>
      </c>
      <c r="Y226" s="301">
        <v>0</v>
      </c>
      <c r="Z226" s="303">
        <v>3.4000000000000002E-2</v>
      </c>
      <c r="AA226" s="301">
        <v>88</v>
      </c>
      <c r="AB226" s="301">
        <v>67</v>
      </c>
      <c r="AC226" s="301">
        <v>0</v>
      </c>
      <c r="AD226" s="301">
        <v>0</v>
      </c>
      <c r="AE226" s="301">
        <v>0</v>
      </c>
    </row>
    <row r="227" spans="1:31" x14ac:dyDescent="0.25">
      <c r="A227" s="148">
        <v>5764</v>
      </c>
      <c r="B227" s="293" t="s">
        <v>316</v>
      </c>
      <c r="C227" s="301">
        <v>4328</v>
      </c>
      <c r="D227" s="304">
        <v>71.5</v>
      </c>
      <c r="E227" s="305">
        <v>1</v>
      </c>
      <c r="F227" s="300">
        <v>4890696.99</v>
      </c>
      <c r="G227" s="301">
        <v>572705.21</v>
      </c>
      <c r="H227" s="301">
        <v>489604.1</v>
      </c>
      <c r="I227" s="301">
        <v>39016.75</v>
      </c>
      <c r="J227" s="301"/>
      <c r="K227" s="301">
        <v>82449.289999999994</v>
      </c>
      <c r="L227" s="301">
        <v>-231182.02</v>
      </c>
      <c r="M227" s="301">
        <v>-2716.66</v>
      </c>
      <c r="N227" s="302">
        <f t="shared" si="6"/>
        <v>52185.049601399332</v>
      </c>
      <c r="O227" s="301">
        <v>572574.69999999995</v>
      </c>
      <c r="P227" s="301">
        <v>257912.95</v>
      </c>
      <c r="Q227" s="301">
        <v>63835.15</v>
      </c>
      <c r="R227" s="301">
        <v>-2274.7399999999998</v>
      </c>
      <c r="S227" s="301">
        <v>486034.6</v>
      </c>
      <c r="T227" s="301">
        <v>788073.5</v>
      </c>
      <c r="U227" s="301">
        <v>187462.95</v>
      </c>
      <c r="V227" s="301">
        <v>2546635.35</v>
      </c>
      <c r="W227" s="302">
        <f t="shared" si="7"/>
        <v>10793013.169601399</v>
      </c>
      <c r="X227" s="301">
        <v>2279</v>
      </c>
      <c r="Y227" s="301">
        <v>4328</v>
      </c>
      <c r="Z227" s="303">
        <v>0.48199999999999998</v>
      </c>
      <c r="AA227" s="301">
        <v>548</v>
      </c>
      <c r="AB227" s="301">
        <v>14</v>
      </c>
      <c r="AC227" s="301">
        <v>0</v>
      </c>
      <c r="AD227" s="301">
        <v>0</v>
      </c>
      <c r="AE227" s="301">
        <v>0</v>
      </c>
    </row>
    <row r="228" spans="1:31" x14ac:dyDescent="0.25">
      <c r="A228" s="148">
        <v>5765</v>
      </c>
      <c r="B228" s="293" t="s">
        <v>317</v>
      </c>
      <c r="C228" s="301">
        <v>489</v>
      </c>
      <c r="D228" s="304">
        <v>81</v>
      </c>
      <c r="E228" s="305">
        <v>0.5</v>
      </c>
      <c r="F228" s="300">
        <v>601199.71</v>
      </c>
      <c r="G228" s="301">
        <v>101871.8</v>
      </c>
      <c r="H228" s="301">
        <v>18994.349999999999</v>
      </c>
      <c r="I228" s="301">
        <v>860.65</v>
      </c>
      <c r="J228" s="301"/>
      <c r="K228" s="301">
        <v>4187.57</v>
      </c>
      <c r="L228" s="301">
        <v>-2562.58</v>
      </c>
      <c r="M228" s="301">
        <v>0</v>
      </c>
      <c r="N228" s="302">
        <f t="shared" si="6"/>
        <v>1960.0705493091766</v>
      </c>
      <c r="O228" s="301">
        <v>35354.5</v>
      </c>
      <c r="P228" s="301">
        <v>26297.18</v>
      </c>
      <c r="Q228" s="301"/>
      <c r="R228" s="301">
        <v>-76.290000000000006</v>
      </c>
      <c r="S228" s="301">
        <v>38814.800000000003</v>
      </c>
      <c r="T228" s="301"/>
      <c r="U228" s="301">
        <v>44132.1</v>
      </c>
      <c r="V228" s="301">
        <v>73030.8</v>
      </c>
      <c r="W228" s="302">
        <f t="shared" si="7"/>
        <v>944064.66054930922</v>
      </c>
      <c r="X228" s="301">
        <v>1315</v>
      </c>
      <c r="Y228" s="301">
        <v>489</v>
      </c>
      <c r="Z228" s="303">
        <v>0.26900000000000002</v>
      </c>
      <c r="AA228" s="301">
        <v>59</v>
      </c>
      <c r="AB228" s="301">
        <v>26</v>
      </c>
      <c r="AC228" s="301">
        <v>0</v>
      </c>
      <c r="AD228" s="301">
        <v>0</v>
      </c>
      <c r="AE228" s="301">
        <v>0</v>
      </c>
    </row>
    <row r="229" spans="1:31" x14ac:dyDescent="0.25">
      <c r="A229" s="148">
        <v>5766</v>
      </c>
      <c r="B229" s="293" t="s">
        <v>318</v>
      </c>
      <c r="C229" s="301">
        <v>607</v>
      </c>
      <c r="D229" s="304">
        <v>75</v>
      </c>
      <c r="E229" s="305">
        <v>0.7</v>
      </c>
      <c r="F229" s="300">
        <v>860897.61</v>
      </c>
      <c r="G229" s="301">
        <v>143496.29</v>
      </c>
      <c r="H229" s="301">
        <v>42197.15</v>
      </c>
      <c r="I229" s="301">
        <v>2018.6</v>
      </c>
      <c r="J229" s="301"/>
      <c r="K229" s="301"/>
      <c r="L229" s="301">
        <v>-14905.51</v>
      </c>
      <c r="M229" s="301">
        <v>0</v>
      </c>
      <c r="N229" s="302">
        <f t="shared" si="6"/>
        <v>4364.9453231235066</v>
      </c>
      <c r="O229" s="301">
        <v>67364.7</v>
      </c>
      <c r="P229" s="301">
        <v>18273.43</v>
      </c>
      <c r="Q229" s="301">
        <v>5400.75</v>
      </c>
      <c r="R229" s="301">
        <v>-131.75</v>
      </c>
      <c r="S229" s="301">
        <v>72292</v>
      </c>
      <c r="T229" s="301"/>
      <c r="U229" s="301">
        <v>61851.35</v>
      </c>
      <c r="V229" s="301">
        <v>38670.65</v>
      </c>
      <c r="W229" s="302">
        <f t="shared" si="7"/>
        <v>1301790.2153231236</v>
      </c>
      <c r="X229" s="301">
        <v>509</v>
      </c>
      <c r="Y229" s="301">
        <v>0</v>
      </c>
      <c r="Z229" s="303">
        <v>0.217</v>
      </c>
      <c r="AA229" s="301">
        <v>72</v>
      </c>
      <c r="AB229" s="301">
        <v>72</v>
      </c>
      <c r="AC229" s="301">
        <v>0</v>
      </c>
      <c r="AD229" s="301">
        <v>0</v>
      </c>
      <c r="AE229" s="301">
        <v>0</v>
      </c>
    </row>
    <row r="230" spans="1:31" x14ac:dyDescent="0.25">
      <c r="A230" s="148">
        <v>5785</v>
      </c>
      <c r="B230" s="293" t="s">
        <v>319</v>
      </c>
      <c r="C230" s="301">
        <v>499</v>
      </c>
      <c r="D230" s="304">
        <v>75</v>
      </c>
      <c r="E230" s="305">
        <v>1</v>
      </c>
      <c r="F230" s="300">
        <v>882217.26</v>
      </c>
      <c r="G230" s="301">
        <v>204157.5</v>
      </c>
      <c r="H230" s="301">
        <v>5256.5</v>
      </c>
      <c r="I230" s="301">
        <v>2035.25</v>
      </c>
      <c r="J230" s="301"/>
      <c r="K230" s="301">
        <v>323.88</v>
      </c>
      <c r="L230" s="301">
        <v>-75411.94</v>
      </c>
      <c r="M230" s="301">
        <v>0</v>
      </c>
      <c r="N230" s="302">
        <f t="shared" si="6"/>
        <v>719.8360326328476</v>
      </c>
      <c r="O230" s="301">
        <v>90503.4</v>
      </c>
      <c r="P230" s="301">
        <v>29310.05</v>
      </c>
      <c r="Q230" s="301">
        <v>565.6</v>
      </c>
      <c r="R230" s="301">
        <v>-410.6</v>
      </c>
      <c r="S230" s="301">
        <v>39377.800000000003</v>
      </c>
      <c r="T230" s="452">
        <f>278100.4-200000</f>
        <v>78100.400000000023</v>
      </c>
      <c r="U230" s="301">
        <v>34201.550000000003</v>
      </c>
      <c r="V230" s="301">
        <v>0</v>
      </c>
      <c r="W230" s="302">
        <f t="shared" si="7"/>
        <v>1290946.4860326329</v>
      </c>
      <c r="X230" s="301">
        <v>793</v>
      </c>
      <c r="Y230" s="301">
        <v>499</v>
      </c>
      <c r="Z230" s="303">
        <v>6.6000000000000003E-2</v>
      </c>
      <c r="AA230" s="301">
        <v>58</v>
      </c>
      <c r="AB230" s="301">
        <v>58</v>
      </c>
      <c r="AC230" s="301">
        <v>0</v>
      </c>
      <c r="AD230" s="301">
        <v>0</v>
      </c>
      <c r="AE230" s="301">
        <v>0</v>
      </c>
    </row>
    <row r="231" spans="1:31" x14ac:dyDescent="0.25">
      <c r="A231" s="148">
        <v>5790</v>
      </c>
      <c r="B231" s="293" t="s">
        <v>320</v>
      </c>
      <c r="C231" s="301">
        <v>569</v>
      </c>
      <c r="D231" s="304">
        <v>74.5</v>
      </c>
      <c r="E231" s="305">
        <v>1</v>
      </c>
      <c r="F231" s="300">
        <v>977207.83</v>
      </c>
      <c r="G231" s="301">
        <v>141518.99</v>
      </c>
      <c r="H231" s="301">
        <v>17184.2</v>
      </c>
      <c r="I231" s="301">
        <v>1197.95</v>
      </c>
      <c r="J231" s="301"/>
      <c r="K231" s="301">
        <v>19944.93</v>
      </c>
      <c r="L231" s="301">
        <v>-41986.35</v>
      </c>
      <c r="M231" s="301">
        <v>-166.66</v>
      </c>
      <c r="N231" s="302">
        <f t="shared" si="6"/>
        <v>1814.6719137740461</v>
      </c>
      <c r="O231" s="301">
        <v>99085.45</v>
      </c>
      <c r="P231" s="301">
        <v>-1576.79</v>
      </c>
      <c r="Q231" s="301">
        <v>2421.6</v>
      </c>
      <c r="R231" s="301">
        <v>-3044.45</v>
      </c>
      <c r="S231" s="301">
        <v>31891.599999999999</v>
      </c>
      <c r="T231" s="301">
        <v>14335.2</v>
      </c>
      <c r="U231" s="301">
        <v>21974.799999999999</v>
      </c>
      <c r="V231" s="301">
        <v>0</v>
      </c>
      <c r="W231" s="302">
        <f t="shared" si="7"/>
        <v>1281802.9719137738</v>
      </c>
      <c r="X231" s="301">
        <v>428</v>
      </c>
      <c r="Y231" s="301">
        <v>569</v>
      </c>
      <c r="Z231" s="303">
        <v>6.6000000000000003E-2</v>
      </c>
      <c r="AA231" s="301">
        <v>72</v>
      </c>
      <c r="AB231" s="301">
        <v>72</v>
      </c>
      <c r="AC231" s="301">
        <v>0</v>
      </c>
      <c r="AD231" s="301">
        <v>0</v>
      </c>
      <c r="AE231" s="301">
        <v>0</v>
      </c>
    </row>
    <row r="232" spans="1:31" x14ac:dyDescent="0.25">
      <c r="A232" s="148">
        <v>5792</v>
      </c>
      <c r="B232" s="293" t="s">
        <v>321</v>
      </c>
      <c r="C232" s="301">
        <v>653</v>
      </c>
      <c r="D232" s="304">
        <v>74.5</v>
      </c>
      <c r="E232" s="305">
        <v>1</v>
      </c>
      <c r="F232" s="300">
        <v>1177391.29</v>
      </c>
      <c r="G232" s="301">
        <v>154615.18</v>
      </c>
      <c r="H232" s="301">
        <v>22972.25</v>
      </c>
      <c r="I232" s="301">
        <v>-705.75</v>
      </c>
      <c r="J232" s="301"/>
      <c r="K232" s="301">
        <v>2727.67</v>
      </c>
      <c r="L232" s="301">
        <v>-7538.8</v>
      </c>
      <c r="M232" s="301">
        <v>0</v>
      </c>
      <c r="N232" s="302">
        <f t="shared" si="6"/>
        <v>2198.1320013192035</v>
      </c>
      <c r="O232" s="301">
        <v>123583.9</v>
      </c>
      <c r="P232" s="301">
        <v>13860.35</v>
      </c>
      <c r="Q232" s="301">
        <v>1733.5</v>
      </c>
      <c r="R232" s="301">
        <v>-29.95</v>
      </c>
      <c r="S232" s="301">
        <v>108002.05</v>
      </c>
      <c r="T232" s="301">
        <v>30867.9</v>
      </c>
      <c r="U232" s="301">
        <v>100136.15</v>
      </c>
      <c r="V232" s="301">
        <v>417.45</v>
      </c>
      <c r="W232" s="302">
        <f t="shared" si="7"/>
        <v>1730231.3220013189</v>
      </c>
      <c r="X232" s="301">
        <v>415</v>
      </c>
      <c r="Y232" s="301">
        <v>653</v>
      </c>
      <c r="Z232" s="303">
        <v>9.5000000000000001E-2</v>
      </c>
      <c r="AA232" s="301">
        <v>64</v>
      </c>
      <c r="AB232" s="301">
        <v>64</v>
      </c>
      <c r="AC232" s="301">
        <v>0</v>
      </c>
      <c r="AD232" s="301">
        <v>0</v>
      </c>
      <c r="AE232" s="301">
        <v>0</v>
      </c>
    </row>
    <row r="233" spans="1:31" x14ac:dyDescent="0.25">
      <c r="A233" s="148">
        <v>5798</v>
      </c>
      <c r="B233" s="293" t="s">
        <v>322</v>
      </c>
      <c r="C233" s="301">
        <v>529</v>
      </c>
      <c r="D233" s="304">
        <v>77.5</v>
      </c>
      <c r="E233" s="305">
        <v>1</v>
      </c>
      <c r="F233" s="300">
        <v>931619.82</v>
      </c>
      <c r="G233" s="301">
        <v>105217.32</v>
      </c>
      <c r="H233" s="301">
        <v>21287.1</v>
      </c>
      <c r="I233" s="301">
        <v>1281.0999999999999</v>
      </c>
      <c r="J233" s="301"/>
      <c r="K233" s="301">
        <v>4049.42</v>
      </c>
      <c r="L233" s="301">
        <v>-11261.63</v>
      </c>
      <c r="M233" s="301">
        <v>0</v>
      </c>
      <c r="N233" s="302">
        <f t="shared" si="6"/>
        <v>2227.9155966214735</v>
      </c>
      <c r="O233" s="301">
        <v>102876.3</v>
      </c>
      <c r="P233" s="301">
        <v>47229.29</v>
      </c>
      <c r="Q233" s="301">
        <v>8205.0499999999993</v>
      </c>
      <c r="R233" s="301">
        <v>-133.15</v>
      </c>
      <c r="S233" s="301">
        <v>89138.5</v>
      </c>
      <c r="T233" s="301">
        <v>1522.5</v>
      </c>
      <c r="U233" s="301">
        <v>27339.3</v>
      </c>
      <c r="V233" s="301">
        <v>43039.3</v>
      </c>
      <c r="W233" s="302">
        <f t="shared" si="7"/>
        <v>1373638.135596622</v>
      </c>
      <c r="X233" s="301">
        <v>474</v>
      </c>
      <c r="Y233" s="301">
        <v>401</v>
      </c>
      <c r="Z233" s="303">
        <v>0.123</v>
      </c>
      <c r="AA233" s="301">
        <v>71</v>
      </c>
      <c r="AB233" s="301">
        <v>55</v>
      </c>
      <c r="AC233" s="301">
        <v>0</v>
      </c>
      <c r="AD233" s="301">
        <v>0</v>
      </c>
      <c r="AE233" s="301">
        <v>0</v>
      </c>
    </row>
    <row r="234" spans="1:31" x14ac:dyDescent="0.25">
      <c r="A234" s="148">
        <v>5799</v>
      </c>
      <c r="B234" s="293" t="s">
        <v>323</v>
      </c>
      <c r="C234" s="301">
        <v>2228</v>
      </c>
      <c r="D234" s="304">
        <v>69</v>
      </c>
      <c r="E234" s="305">
        <v>1</v>
      </c>
      <c r="F234" s="300">
        <v>4350564.91</v>
      </c>
      <c r="G234" s="301">
        <v>525755.48</v>
      </c>
      <c r="H234" s="301">
        <v>138165.75</v>
      </c>
      <c r="I234" s="301">
        <v>12062.45</v>
      </c>
      <c r="J234" s="301"/>
      <c r="K234" s="301">
        <v>11728.32</v>
      </c>
      <c r="L234" s="301">
        <v>-72112.81</v>
      </c>
      <c r="M234" s="301">
        <v>0</v>
      </c>
      <c r="N234" s="302">
        <f t="shared" si="6"/>
        <v>14830.414026478411</v>
      </c>
      <c r="O234" s="301">
        <v>454204.25</v>
      </c>
      <c r="P234" s="301">
        <v>63833.04</v>
      </c>
      <c r="Q234" s="301">
        <v>13395.8</v>
      </c>
      <c r="R234" s="301">
        <v>-1111.2</v>
      </c>
      <c r="S234" s="301">
        <v>311787.65000000002</v>
      </c>
      <c r="T234" s="301">
        <v>20356.2</v>
      </c>
      <c r="U234" s="301">
        <v>236063.9</v>
      </c>
      <c r="V234" s="301">
        <v>37098.199999999997</v>
      </c>
      <c r="W234" s="302">
        <f t="shared" si="7"/>
        <v>6116622.3540264806</v>
      </c>
      <c r="X234" s="301">
        <v>628</v>
      </c>
      <c r="Y234" s="301">
        <v>2228</v>
      </c>
      <c r="Z234" s="303">
        <v>6.7000000000000004E-2</v>
      </c>
      <c r="AA234" s="301">
        <v>309</v>
      </c>
      <c r="AB234" s="301">
        <v>196</v>
      </c>
      <c r="AC234" s="301">
        <v>0</v>
      </c>
      <c r="AD234" s="301">
        <v>0</v>
      </c>
      <c r="AE234" s="301">
        <v>0</v>
      </c>
    </row>
    <row r="235" spans="1:31" x14ac:dyDescent="0.25">
      <c r="A235" s="148">
        <v>5803</v>
      </c>
      <c r="B235" s="293" t="s">
        <v>324</v>
      </c>
      <c r="C235" s="301">
        <v>628</v>
      </c>
      <c r="D235" s="304">
        <v>74</v>
      </c>
      <c r="E235" s="305">
        <v>1</v>
      </c>
      <c r="F235" s="300">
        <v>1114020.46</v>
      </c>
      <c r="G235" s="301">
        <v>141809.68</v>
      </c>
      <c r="H235" s="301">
        <v>8726.5</v>
      </c>
      <c r="I235" s="301">
        <v>2471.5500000000002</v>
      </c>
      <c r="J235" s="301"/>
      <c r="K235" s="301">
        <v>2508.1799999999998</v>
      </c>
      <c r="L235" s="301">
        <v>-16664.560000000001</v>
      </c>
      <c r="M235" s="301">
        <v>0</v>
      </c>
      <c r="N235" s="302">
        <f t="shared" si="6"/>
        <v>1105.4630075392406</v>
      </c>
      <c r="O235" s="301">
        <v>114325</v>
      </c>
      <c r="P235" s="301">
        <v>802.02</v>
      </c>
      <c r="Q235" s="301"/>
      <c r="R235" s="301">
        <v>-550.1</v>
      </c>
      <c r="S235" s="301">
        <v>86878</v>
      </c>
      <c r="T235" s="301">
        <v>17167.2</v>
      </c>
      <c r="U235" s="301">
        <v>29190.45</v>
      </c>
      <c r="V235" s="301">
        <v>1601.5</v>
      </c>
      <c r="W235" s="302">
        <f t="shared" si="7"/>
        <v>1503391.3430075389</v>
      </c>
      <c r="X235" s="301">
        <v>653</v>
      </c>
      <c r="Y235" s="301">
        <v>36</v>
      </c>
      <c r="Z235" s="303">
        <v>0.111</v>
      </c>
      <c r="AA235" s="301">
        <v>90</v>
      </c>
      <c r="AB235" s="301">
        <v>89</v>
      </c>
      <c r="AC235" s="301">
        <v>0</v>
      </c>
      <c r="AD235" s="301">
        <v>0</v>
      </c>
      <c r="AE235" s="301">
        <v>0</v>
      </c>
    </row>
    <row r="236" spans="1:31" x14ac:dyDescent="0.25">
      <c r="A236" s="148">
        <v>5804</v>
      </c>
      <c r="B236" s="293" t="s">
        <v>325</v>
      </c>
      <c r="C236" s="301">
        <v>1576</v>
      </c>
      <c r="D236" s="304">
        <v>70.5</v>
      </c>
      <c r="E236" s="305">
        <v>1</v>
      </c>
      <c r="F236" s="300">
        <v>2670540.04</v>
      </c>
      <c r="G236" s="301">
        <v>411572.01</v>
      </c>
      <c r="H236" s="301">
        <v>42893.35</v>
      </c>
      <c r="I236" s="301">
        <v>1304.6500000000001</v>
      </c>
      <c r="J236" s="301"/>
      <c r="K236" s="301">
        <v>6766.09</v>
      </c>
      <c r="L236" s="301">
        <v>-76835.06</v>
      </c>
      <c r="M236" s="301">
        <v>0</v>
      </c>
      <c r="N236" s="302">
        <f t="shared" si="6"/>
        <v>4363.1930565785442</v>
      </c>
      <c r="O236" s="301">
        <v>287661.45</v>
      </c>
      <c r="P236" s="301">
        <v>44402.87</v>
      </c>
      <c r="Q236" s="301">
        <v>3540.4</v>
      </c>
      <c r="R236" s="301">
        <v>-859.8</v>
      </c>
      <c r="S236" s="301">
        <v>128410.55</v>
      </c>
      <c r="T236" s="301">
        <v>49141.7</v>
      </c>
      <c r="U236" s="301">
        <v>102883.25</v>
      </c>
      <c r="V236" s="301">
        <v>15877.4</v>
      </c>
      <c r="W236" s="302">
        <f t="shared" si="7"/>
        <v>3691662.0930565787</v>
      </c>
      <c r="X236" s="301">
        <v>1768</v>
      </c>
      <c r="Y236" s="301">
        <v>1548</v>
      </c>
      <c r="Z236" s="303">
        <v>9.5000000000000001E-2</v>
      </c>
      <c r="AA236" s="301">
        <v>198</v>
      </c>
      <c r="AB236" s="301">
        <v>195</v>
      </c>
      <c r="AC236" s="301">
        <v>0</v>
      </c>
      <c r="AD236" s="301">
        <v>0</v>
      </c>
      <c r="AE236" s="301">
        <v>0</v>
      </c>
    </row>
    <row r="237" spans="1:31" x14ac:dyDescent="0.25">
      <c r="A237" s="148">
        <v>5805</v>
      </c>
      <c r="B237" s="293" t="s">
        <v>326</v>
      </c>
      <c r="C237" s="301">
        <v>6345</v>
      </c>
      <c r="D237" s="304">
        <v>69</v>
      </c>
      <c r="E237" s="305">
        <v>1.1000000000000001</v>
      </c>
      <c r="F237" s="300">
        <v>9826030.3900000006</v>
      </c>
      <c r="G237" s="301">
        <v>1279005</v>
      </c>
      <c r="H237" s="301">
        <v>575487.65</v>
      </c>
      <c r="I237" s="301">
        <v>23721.9</v>
      </c>
      <c r="J237" s="301">
        <v>40675.5</v>
      </c>
      <c r="K237" s="301">
        <v>32200.39</v>
      </c>
      <c r="L237" s="301">
        <v>-151603.07</v>
      </c>
      <c r="M237" s="301">
        <v>-1600</v>
      </c>
      <c r="N237" s="302">
        <f t="shared" si="6"/>
        <v>59153.512557028691</v>
      </c>
      <c r="O237" s="301">
        <v>1235478.95</v>
      </c>
      <c r="P237" s="301">
        <v>172477.95</v>
      </c>
      <c r="Q237" s="301">
        <v>91591.45</v>
      </c>
      <c r="R237" s="301">
        <v>-18106.05</v>
      </c>
      <c r="S237" s="301">
        <v>977862.5</v>
      </c>
      <c r="T237" s="301">
        <v>115429.5</v>
      </c>
      <c r="U237" s="301">
        <v>382981.55</v>
      </c>
      <c r="V237" s="301">
        <v>169721.85</v>
      </c>
      <c r="W237" s="302">
        <f t="shared" si="7"/>
        <v>14810508.972557027</v>
      </c>
      <c r="X237" s="301">
        <v>2616</v>
      </c>
      <c r="Y237" s="301">
        <v>1040</v>
      </c>
      <c r="Z237" s="303">
        <v>5.5E-2</v>
      </c>
      <c r="AA237" s="301">
        <v>806</v>
      </c>
      <c r="AB237" s="301">
        <v>293</v>
      </c>
      <c r="AC237" s="301">
        <v>0</v>
      </c>
      <c r="AD237" s="301">
        <v>0</v>
      </c>
      <c r="AE237" s="301">
        <v>0</v>
      </c>
    </row>
    <row r="238" spans="1:31" x14ac:dyDescent="0.25">
      <c r="A238" s="148">
        <v>5806</v>
      </c>
      <c r="B238" s="293" t="s">
        <v>327</v>
      </c>
      <c r="C238" s="301">
        <v>3189</v>
      </c>
      <c r="D238" s="304">
        <v>71</v>
      </c>
      <c r="E238" s="305">
        <v>1</v>
      </c>
      <c r="F238" s="300">
        <v>5648294.1600000001</v>
      </c>
      <c r="G238" s="301">
        <v>721227.81</v>
      </c>
      <c r="H238" s="301">
        <v>132447.65</v>
      </c>
      <c r="I238" s="301">
        <v>10132.25</v>
      </c>
      <c r="J238" s="301">
        <v>52354.65</v>
      </c>
      <c r="K238" s="301">
        <v>36031.78</v>
      </c>
      <c r="L238" s="301">
        <v>-74315.05</v>
      </c>
      <c r="M238" s="301">
        <v>-1200</v>
      </c>
      <c r="N238" s="302">
        <f t="shared" si="6"/>
        <v>14075.379648121252</v>
      </c>
      <c r="O238" s="301">
        <v>591003.1</v>
      </c>
      <c r="P238" s="301">
        <v>78975.990000000005</v>
      </c>
      <c r="Q238" s="301">
        <v>33842.550000000003</v>
      </c>
      <c r="R238" s="301">
        <v>-4295.8999999999996</v>
      </c>
      <c r="S238" s="301">
        <v>319644.75</v>
      </c>
      <c r="T238" s="301">
        <v>351531.3</v>
      </c>
      <c r="U238" s="301">
        <v>207932.75</v>
      </c>
      <c r="V238" s="301">
        <v>34586.400000000001</v>
      </c>
      <c r="W238" s="302">
        <f t="shared" si="7"/>
        <v>8152269.5696481224</v>
      </c>
      <c r="X238" s="301">
        <v>1111</v>
      </c>
      <c r="Y238" s="301">
        <v>2008</v>
      </c>
      <c r="Z238" s="303">
        <v>5.1999999999999998E-2</v>
      </c>
      <c r="AA238" s="301">
        <v>409</v>
      </c>
      <c r="AB238" s="301">
        <v>30</v>
      </c>
      <c r="AC238" s="301">
        <v>0</v>
      </c>
      <c r="AD238" s="301">
        <v>0</v>
      </c>
      <c r="AE238" s="301">
        <v>0</v>
      </c>
    </row>
    <row r="239" spans="1:31" x14ac:dyDescent="0.25">
      <c r="A239" s="148">
        <v>5812</v>
      </c>
      <c r="B239" s="293" t="s">
        <v>328</v>
      </c>
      <c r="C239" s="301">
        <v>196</v>
      </c>
      <c r="D239" s="304">
        <v>77</v>
      </c>
      <c r="E239" s="305">
        <v>0.8</v>
      </c>
      <c r="F239" s="300">
        <v>239350.8</v>
      </c>
      <c r="G239" s="301">
        <v>25359.06</v>
      </c>
      <c r="H239" s="301">
        <v>18478.45</v>
      </c>
      <c r="I239" s="301">
        <v>366.55</v>
      </c>
      <c r="J239" s="301"/>
      <c r="K239" s="301">
        <v>296.37</v>
      </c>
      <c r="L239" s="301">
        <v>-6519.71</v>
      </c>
      <c r="M239" s="301">
        <v>0</v>
      </c>
      <c r="N239" s="302">
        <f t="shared" si="6"/>
        <v>1860.3641149197397</v>
      </c>
      <c r="O239" s="301">
        <v>20061.400000000001</v>
      </c>
      <c r="P239" s="301">
        <v>490.74</v>
      </c>
      <c r="Q239" s="301">
        <v>894.75</v>
      </c>
      <c r="R239" s="301">
        <v>-31.25</v>
      </c>
      <c r="S239" s="301">
        <v>13090</v>
      </c>
      <c r="T239" s="301"/>
      <c r="U239" s="301">
        <v>22625.3</v>
      </c>
      <c r="V239" s="301">
        <v>0</v>
      </c>
      <c r="W239" s="302">
        <f t="shared" si="7"/>
        <v>336322.8241149197</v>
      </c>
      <c r="X239" s="301">
        <v>302</v>
      </c>
      <c r="Y239" s="301">
        <v>0</v>
      </c>
      <c r="Z239" s="303">
        <v>2.1000000000000001E-2</v>
      </c>
      <c r="AA239" s="301">
        <v>31</v>
      </c>
      <c r="AB239" s="301">
        <v>31</v>
      </c>
      <c r="AC239" s="301">
        <v>0</v>
      </c>
      <c r="AD239" s="301">
        <v>0</v>
      </c>
      <c r="AE239" s="301">
        <v>0</v>
      </c>
    </row>
    <row r="240" spans="1:31" x14ac:dyDescent="0.25">
      <c r="A240" s="148">
        <v>5813</v>
      </c>
      <c r="B240" s="293" t="s">
        <v>329</v>
      </c>
      <c r="C240" s="301">
        <v>495</v>
      </c>
      <c r="D240" s="304">
        <v>68.5</v>
      </c>
      <c r="E240" s="305">
        <v>1.2</v>
      </c>
      <c r="F240" s="300">
        <v>1066411.93</v>
      </c>
      <c r="G240" s="301">
        <v>121683.98</v>
      </c>
      <c r="H240" s="301">
        <v>14478.7</v>
      </c>
      <c r="I240" s="301">
        <v>1084.3499999999999</v>
      </c>
      <c r="J240" s="301"/>
      <c r="K240" s="301">
        <v>166.37</v>
      </c>
      <c r="L240" s="301">
        <v>-4976.6899999999996</v>
      </c>
      <c r="M240" s="301">
        <v>-100</v>
      </c>
      <c r="N240" s="302">
        <f t="shared" si="6"/>
        <v>1536.3724987371536</v>
      </c>
      <c r="O240" s="301">
        <v>126045.05</v>
      </c>
      <c r="P240" s="301">
        <v>11992.65</v>
      </c>
      <c r="Q240" s="301"/>
      <c r="R240" s="301">
        <v>0</v>
      </c>
      <c r="S240" s="301">
        <v>21061.3</v>
      </c>
      <c r="T240" s="301">
        <v>2205</v>
      </c>
      <c r="U240" s="301">
        <v>30215.4</v>
      </c>
      <c r="V240" s="301">
        <v>5091.6000000000004</v>
      </c>
      <c r="W240" s="302">
        <f t="shared" si="7"/>
        <v>1396896.0124987373</v>
      </c>
      <c r="X240" s="301">
        <v>335</v>
      </c>
      <c r="Y240" s="301">
        <v>0</v>
      </c>
      <c r="Z240" s="303">
        <v>2.4E-2</v>
      </c>
      <c r="AA240" s="301">
        <v>57</v>
      </c>
      <c r="AB240" s="301">
        <v>57</v>
      </c>
      <c r="AC240" s="301">
        <v>0</v>
      </c>
      <c r="AD240" s="301">
        <v>0</v>
      </c>
      <c r="AE240" s="301">
        <v>0</v>
      </c>
    </row>
    <row r="241" spans="1:31" x14ac:dyDescent="0.25">
      <c r="A241" s="148">
        <v>5816</v>
      </c>
      <c r="B241" s="293" t="s">
        <v>330</v>
      </c>
      <c r="C241" s="301">
        <v>3004</v>
      </c>
      <c r="D241" s="304">
        <v>65</v>
      </c>
      <c r="E241" s="305">
        <v>0.7</v>
      </c>
      <c r="F241" s="300">
        <v>3395136.04</v>
      </c>
      <c r="G241" s="301">
        <v>400368.32</v>
      </c>
      <c r="H241" s="301">
        <v>416363.65</v>
      </c>
      <c r="I241" s="301">
        <v>13284.6</v>
      </c>
      <c r="J241" s="301"/>
      <c r="K241" s="301">
        <v>96677.87</v>
      </c>
      <c r="L241" s="301">
        <v>-172014.32</v>
      </c>
      <c r="M241" s="301">
        <v>0</v>
      </c>
      <c r="N241" s="302">
        <f t="shared" si="6"/>
        <v>42414.549553625104</v>
      </c>
      <c r="O241" s="301">
        <v>318007.7</v>
      </c>
      <c r="P241" s="301">
        <v>179334.22</v>
      </c>
      <c r="Q241" s="301">
        <v>-32593.1</v>
      </c>
      <c r="R241" s="301">
        <v>0</v>
      </c>
      <c r="S241" s="301">
        <v>290810.90000000002</v>
      </c>
      <c r="T241" s="301">
        <v>147637</v>
      </c>
      <c r="U241" s="301">
        <v>239297.55</v>
      </c>
      <c r="V241" s="301">
        <v>40244.949999999997</v>
      </c>
      <c r="W241" s="302">
        <f t="shared" si="7"/>
        <v>5374969.9295536252</v>
      </c>
      <c r="X241" s="301">
        <v>1188</v>
      </c>
      <c r="Y241" s="301">
        <v>0</v>
      </c>
      <c r="Z241" s="303">
        <v>2.3E-2</v>
      </c>
      <c r="AA241" s="301">
        <v>402</v>
      </c>
      <c r="AB241" s="301">
        <v>79</v>
      </c>
      <c r="AC241" s="301">
        <v>0</v>
      </c>
      <c r="AD241" s="301">
        <v>0</v>
      </c>
      <c r="AE241" s="301">
        <v>0</v>
      </c>
    </row>
    <row r="242" spans="1:31" x14ac:dyDescent="0.25">
      <c r="A242" s="148">
        <v>5817</v>
      </c>
      <c r="B242" s="293" t="s">
        <v>331</v>
      </c>
      <c r="C242" s="301">
        <v>983</v>
      </c>
      <c r="D242" s="304">
        <v>72</v>
      </c>
      <c r="E242" s="305">
        <v>1</v>
      </c>
      <c r="F242" s="300">
        <v>1610623.32</v>
      </c>
      <c r="G242" s="301">
        <v>172855.25</v>
      </c>
      <c r="H242" s="301">
        <v>13930.1</v>
      </c>
      <c r="I242" s="301">
        <v>1717.4</v>
      </c>
      <c r="J242" s="301"/>
      <c r="K242" s="301">
        <v>1618.58</v>
      </c>
      <c r="L242" s="301">
        <v>-31518</v>
      </c>
      <c r="M242" s="301">
        <v>-4350</v>
      </c>
      <c r="N242" s="302">
        <f t="shared" si="6"/>
        <v>1544.7093387214979</v>
      </c>
      <c r="O242" s="301">
        <v>143850.75</v>
      </c>
      <c r="P242" s="301">
        <v>30108.86</v>
      </c>
      <c r="Q242" s="301">
        <v>9063.15</v>
      </c>
      <c r="R242" s="301">
        <v>-105.45</v>
      </c>
      <c r="S242" s="301">
        <v>53998.85</v>
      </c>
      <c r="T242" s="301">
        <v>4751.1000000000004</v>
      </c>
      <c r="U242" s="301">
        <v>78320</v>
      </c>
      <c r="V242" s="301">
        <v>0</v>
      </c>
      <c r="W242" s="302">
        <f t="shared" si="7"/>
        <v>2086408.619338722</v>
      </c>
      <c r="X242" s="301">
        <v>1016</v>
      </c>
      <c r="Y242" s="301">
        <v>0</v>
      </c>
      <c r="Z242" s="303">
        <v>1.4E-2</v>
      </c>
      <c r="AA242" s="301">
        <v>140</v>
      </c>
      <c r="AB242" s="301">
        <v>97</v>
      </c>
      <c r="AC242" s="301">
        <v>0</v>
      </c>
      <c r="AD242" s="301">
        <v>0</v>
      </c>
      <c r="AE242" s="301">
        <v>0</v>
      </c>
    </row>
    <row r="243" spans="1:31" x14ac:dyDescent="0.25">
      <c r="A243" s="148">
        <v>5819</v>
      </c>
      <c r="B243" s="293" t="s">
        <v>332</v>
      </c>
      <c r="C243" s="301">
        <v>468</v>
      </c>
      <c r="D243" s="304">
        <v>69</v>
      </c>
      <c r="E243" s="305">
        <v>1</v>
      </c>
      <c r="F243" s="300">
        <v>602434.18999999994</v>
      </c>
      <c r="G243" s="301">
        <v>149368.07</v>
      </c>
      <c r="H243" s="301">
        <v>127420.75</v>
      </c>
      <c r="I243" s="301">
        <v>4937.8</v>
      </c>
      <c r="J243" s="301"/>
      <c r="K243" s="301">
        <v>54078.18</v>
      </c>
      <c r="L243" s="301">
        <v>-41851.699999999997</v>
      </c>
      <c r="M243" s="301">
        <v>0</v>
      </c>
      <c r="N243" s="302">
        <f t="shared" si="6"/>
        <v>13066.335724213855</v>
      </c>
      <c r="O243" s="301">
        <v>103915.15</v>
      </c>
      <c r="P243" s="301">
        <v>11647.05</v>
      </c>
      <c r="Q243" s="301">
        <v>2043.85</v>
      </c>
      <c r="R243" s="301">
        <v>0</v>
      </c>
      <c r="S243" s="301">
        <v>29206.9</v>
      </c>
      <c r="T243" s="301"/>
      <c r="U243" s="301">
        <v>14209.25</v>
      </c>
      <c r="V243" s="301">
        <v>6123.25</v>
      </c>
      <c r="W243" s="302">
        <f t="shared" si="7"/>
        <v>1076599.0757242141</v>
      </c>
      <c r="X243" s="301">
        <v>252</v>
      </c>
      <c r="Y243" s="301">
        <v>0</v>
      </c>
      <c r="Z243" s="303">
        <v>0.107</v>
      </c>
      <c r="AA243" s="301">
        <v>70</v>
      </c>
      <c r="AB243" s="301">
        <v>70</v>
      </c>
      <c r="AC243" s="301">
        <v>0</v>
      </c>
      <c r="AD243" s="301">
        <v>0</v>
      </c>
      <c r="AE243" s="301">
        <v>0</v>
      </c>
    </row>
    <row r="244" spans="1:31" x14ac:dyDescent="0.25">
      <c r="A244" s="148">
        <v>5821</v>
      </c>
      <c r="B244" s="293" t="s">
        <v>333</v>
      </c>
      <c r="C244" s="301">
        <v>384</v>
      </c>
      <c r="D244" s="304">
        <v>69</v>
      </c>
      <c r="E244" s="305">
        <v>1</v>
      </c>
      <c r="F244" s="300">
        <v>531449.26</v>
      </c>
      <c r="G244" s="301">
        <v>119647.96</v>
      </c>
      <c r="H244" s="301">
        <v>4300.75</v>
      </c>
      <c r="I244" s="301">
        <v>1187</v>
      </c>
      <c r="J244" s="301"/>
      <c r="K244" s="301">
        <v>318.31</v>
      </c>
      <c r="L244" s="301">
        <v>-16194.71</v>
      </c>
      <c r="M244" s="301">
        <v>-500</v>
      </c>
      <c r="N244" s="302">
        <f t="shared" si="6"/>
        <v>541.7465201194376</v>
      </c>
      <c r="O244" s="301">
        <v>54926.2</v>
      </c>
      <c r="P244" s="301">
        <v>16861.29</v>
      </c>
      <c r="Q244" s="301">
        <v>1460</v>
      </c>
      <c r="R244" s="301">
        <v>-58.1</v>
      </c>
      <c r="S244" s="301">
        <v>22715</v>
      </c>
      <c r="T244" s="301">
        <v>72.400000000000006</v>
      </c>
      <c r="U244" s="301">
        <v>21471.05</v>
      </c>
      <c r="V244" s="301">
        <v>0</v>
      </c>
      <c r="W244" s="302">
        <f t="shared" si="7"/>
        <v>758198.15652011964</v>
      </c>
      <c r="X244" s="301">
        <v>301</v>
      </c>
      <c r="Y244" s="301">
        <v>0</v>
      </c>
      <c r="Z244" s="303">
        <v>0.02</v>
      </c>
      <c r="AA244" s="301">
        <v>61</v>
      </c>
      <c r="AB244" s="301">
        <v>61</v>
      </c>
      <c r="AC244" s="301">
        <v>0</v>
      </c>
      <c r="AD244" s="301">
        <v>0</v>
      </c>
      <c r="AE244" s="301">
        <v>0</v>
      </c>
    </row>
    <row r="245" spans="1:31" x14ac:dyDescent="0.25">
      <c r="A245" s="148">
        <v>5822</v>
      </c>
      <c r="B245" s="293" t="s">
        <v>104</v>
      </c>
      <c r="C245" s="301">
        <v>10802</v>
      </c>
      <c r="D245" s="304">
        <v>70</v>
      </c>
      <c r="E245" s="305">
        <v>1</v>
      </c>
      <c r="F245" s="300">
        <v>11751520.34</v>
      </c>
      <c r="G245" s="301">
        <v>1406499.6</v>
      </c>
      <c r="H245" s="301">
        <v>1654605.6</v>
      </c>
      <c r="I245" s="301">
        <v>97972.85</v>
      </c>
      <c r="J245" s="301"/>
      <c r="K245" s="301">
        <v>191748.16</v>
      </c>
      <c r="L245" s="301">
        <v>-547316.68000000005</v>
      </c>
      <c r="M245" s="301">
        <v>123457.38</v>
      </c>
      <c r="N245" s="302">
        <f t="shared" si="6"/>
        <v>173013.21607650092</v>
      </c>
      <c r="O245" s="301">
        <v>1679849.65</v>
      </c>
      <c r="P245" s="301">
        <v>902858.44</v>
      </c>
      <c r="Q245" s="301">
        <v>240220.6</v>
      </c>
      <c r="R245" s="301">
        <v>-1705.53</v>
      </c>
      <c r="S245" s="301">
        <v>1058202.95</v>
      </c>
      <c r="T245" s="301">
        <v>110511.7</v>
      </c>
      <c r="U245" s="301">
        <v>604809.44999999995</v>
      </c>
      <c r="V245" s="301">
        <v>416377.45</v>
      </c>
      <c r="W245" s="302">
        <f t="shared" si="7"/>
        <v>19862625.176076498</v>
      </c>
      <c r="X245" s="301">
        <v>2376</v>
      </c>
      <c r="Y245" s="301">
        <v>0</v>
      </c>
      <c r="Z245" s="303">
        <v>3.1E-2</v>
      </c>
      <c r="AA245" s="301">
        <v>1436</v>
      </c>
      <c r="AB245" s="301">
        <v>39</v>
      </c>
      <c r="AC245" s="301">
        <v>336028</v>
      </c>
      <c r="AD245" s="301">
        <v>-12428</v>
      </c>
      <c r="AE245" s="301">
        <v>0</v>
      </c>
    </row>
    <row r="246" spans="1:31" x14ac:dyDescent="0.25">
      <c r="A246" s="148">
        <v>5827</v>
      </c>
      <c r="B246" s="293" t="s">
        <v>334</v>
      </c>
      <c r="C246" s="301">
        <v>318</v>
      </c>
      <c r="D246" s="304">
        <v>78</v>
      </c>
      <c r="E246" s="305">
        <v>1</v>
      </c>
      <c r="F246" s="300">
        <v>559300.1</v>
      </c>
      <c r="G246" s="301">
        <v>65207.08</v>
      </c>
      <c r="H246" s="301">
        <v>821.55</v>
      </c>
      <c r="I246" s="301">
        <v>1186.05</v>
      </c>
      <c r="J246" s="301"/>
      <c r="K246" s="301">
        <v>5939.03</v>
      </c>
      <c r="L246" s="301">
        <v>-10545.6</v>
      </c>
      <c r="M246" s="301">
        <v>0</v>
      </c>
      <c r="N246" s="302">
        <f t="shared" si="6"/>
        <v>198.18875017844888</v>
      </c>
      <c r="O246" s="301">
        <v>48186.75</v>
      </c>
      <c r="P246" s="301">
        <v>4658.21</v>
      </c>
      <c r="Q246" s="301">
        <v>1659.35</v>
      </c>
      <c r="R246" s="301">
        <v>0</v>
      </c>
      <c r="S246" s="301">
        <v>20295</v>
      </c>
      <c r="T246" s="301"/>
      <c r="U246" s="301">
        <v>29501.45</v>
      </c>
      <c r="V246" s="301">
        <v>0</v>
      </c>
      <c r="W246" s="302">
        <f t="shared" si="7"/>
        <v>726407.15875017841</v>
      </c>
      <c r="X246" s="301">
        <v>372</v>
      </c>
      <c r="Y246" s="301">
        <v>0</v>
      </c>
      <c r="Z246" s="303">
        <v>7.1999999999999995E-2</v>
      </c>
      <c r="AA246" s="301">
        <v>39</v>
      </c>
      <c r="AB246" s="301">
        <v>39</v>
      </c>
      <c r="AC246" s="301">
        <v>0</v>
      </c>
      <c r="AD246" s="301">
        <v>0</v>
      </c>
      <c r="AE246" s="301">
        <v>0</v>
      </c>
    </row>
    <row r="247" spans="1:31" x14ac:dyDescent="0.25">
      <c r="A247" s="148">
        <v>5828</v>
      </c>
      <c r="B247" s="293" t="s">
        <v>335</v>
      </c>
      <c r="C247" s="301">
        <v>109</v>
      </c>
      <c r="D247" s="304">
        <v>81.5</v>
      </c>
      <c r="E247" s="305">
        <v>1.5</v>
      </c>
      <c r="F247" s="300">
        <v>172612.93</v>
      </c>
      <c r="G247" s="301">
        <v>42135.24</v>
      </c>
      <c r="H247" s="301">
        <v>158.35</v>
      </c>
      <c r="I247" s="301">
        <v>136.94999999999999</v>
      </c>
      <c r="J247" s="301"/>
      <c r="K247" s="301"/>
      <c r="L247" s="301">
        <v>-1966.38</v>
      </c>
      <c r="M247" s="301">
        <v>-2800</v>
      </c>
      <c r="N247" s="302">
        <f t="shared" si="6"/>
        <v>29.151792153664051</v>
      </c>
      <c r="O247" s="301">
        <v>28126.799999999999</v>
      </c>
      <c r="P247" s="301">
        <v>1.0900000000000001</v>
      </c>
      <c r="Q247" s="301"/>
      <c r="R247" s="301">
        <v>-86.7</v>
      </c>
      <c r="S247" s="301">
        <v>5318.05</v>
      </c>
      <c r="T247" s="301">
        <v>3654.6</v>
      </c>
      <c r="U247" s="301"/>
      <c r="V247" s="301">
        <v>0</v>
      </c>
      <c r="W247" s="302">
        <f t="shared" si="7"/>
        <v>247320.08179215362</v>
      </c>
      <c r="X247" s="301">
        <v>310</v>
      </c>
      <c r="Y247" s="301">
        <v>0</v>
      </c>
      <c r="Z247" s="303">
        <v>0.04</v>
      </c>
      <c r="AA247" s="301">
        <v>9</v>
      </c>
      <c r="AB247" s="301">
        <v>8</v>
      </c>
      <c r="AC247" s="301">
        <v>0</v>
      </c>
      <c r="AD247" s="301">
        <v>0</v>
      </c>
      <c r="AE247" s="301">
        <v>0</v>
      </c>
    </row>
    <row r="248" spans="1:31" x14ac:dyDescent="0.25">
      <c r="A248" s="148">
        <v>5830</v>
      </c>
      <c r="B248" s="293" t="s">
        <v>336</v>
      </c>
      <c r="C248" s="301">
        <v>524</v>
      </c>
      <c r="D248" s="304">
        <v>75</v>
      </c>
      <c r="E248" s="305">
        <v>1</v>
      </c>
      <c r="F248" s="300">
        <v>903995.69</v>
      </c>
      <c r="G248" s="301">
        <v>123172.44</v>
      </c>
      <c r="H248" s="301">
        <v>12437.05</v>
      </c>
      <c r="I248" s="301">
        <v>461.2</v>
      </c>
      <c r="J248" s="301"/>
      <c r="K248" s="301">
        <v>413.02</v>
      </c>
      <c r="L248" s="301">
        <v>-1580.16</v>
      </c>
      <c r="M248" s="301">
        <v>-300</v>
      </c>
      <c r="N248" s="302">
        <f t="shared" si="6"/>
        <v>1273.3054627361917</v>
      </c>
      <c r="O248" s="301">
        <v>68912.600000000006</v>
      </c>
      <c r="P248" s="301">
        <v>14577.07</v>
      </c>
      <c r="Q248" s="301">
        <v>2039.2</v>
      </c>
      <c r="R248" s="301">
        <v>-53.1</v>
      </c>
      <c r="S248" s="301">
        <v>65940.350000000006</v>
      </c>
      <c r="T248" s="301"/>
      <c r="U248" s="301">
        <v>76701</v>
      </c>
      <c r="V248" s="301">
        <v>5814</v>
      </c>
      <c r="W248" s="302">
        <f t="shared" si="7"/>
        <v>1273803.665462736</v>
      </c>
      <c r="X248" s="301">
        <v>769</v>
      </c>
      <c r="Y248" s="301">
        <v>28</v>
      </c>
      <c r="Z248" s="303">
        <v>9.1999999999999998E-2</v>
      </c>
      <c r="AA248" s="301">
        <v>68</v>
      </c>
      <c r="AB248" s="301">
        <v>68</v>
      </c>
      <c r="AC248" s="301">
        <v>0</v>
      </c>
      <c r="AD248" s="301">
        <v>0</v>
      </c>
      <c r="AE248" s="301">
        <v>0</v>
      </c>
    </row>
    <row r="249" spans="1:31" x14ac:dyDescent="0.25">
      <c r="A249" s="148">
        <v>5831</v>
      </c>
      <c r="B249" s="293" t="s">
        <v>337</v>
      </c>
      <c r="C249" s="301">
        <v>3435</v>
      </c>
      <c r="D249" s="304">
        <v>70.5</v>
      </c>
      <c r="E249" s="305">
        <v>0.6</v>
      </c>
      <c r="F249" s="300">
        <v>4438356.57</v>
      </c>
      <c r="G249" s="301">
        <v>688286.66</v>
      </c>
      <c r="H249" s="301">
        <v>273018.40000000002</v>
      </c>
      <c r="I249" s="301">
        <v>20214</v>
      </c>
      <c r="J249" s="301"/>
      <c r="K249" s="301">
        <v>7713.13</v>
      </c>
      <c r="L249" s="301">
        <v>-88903.91</v>
      </c>
      <c r="M249" s="301">
        <v>-3550</v>
      </c>
      <c r="N249" s="302">
        <f t="shared" si="6"/>
        <v>28947.680248967426</v>
      </c>
      <c r="O249" s="301">
        <v>340271.9</v>
      </c>
      <c r="P249" s="301">
        <v>171992.8</v>
      </c>
      <c r="Q249" s="301">
        <v>35627.15</v>
      </c>
      <c r="R249" s="301">
        <v>-190.8</v>
      </c>
      <c r="S249" s="301">
        <v>134544.75</v>
      </c>
      <c r="T249" s="452">
        <f>2106380-2093000</f>
        <v>13380</v>
      </c>
      <c r="U249" s="301">
        <v>205191.15</v>
      </c>
      <c r="V249" s="301">
        <v>58127</v>
      </c>
      <c r="W249" s="302">
        <f t="shared" si="7"/>
        <v>6323026.480248969</v>
      </c>
      <c r="X249" s="301">
        <v>3335</v>
      </c>
      <c r="Y249" s="301">
        <v>117</v>
      </c>
      <c r="Z249" s="303">
        <v>7.2999999999999995E-2</v>
      </c>
      <c r="AA249" s="301">
        <v>430</v>
      </c>
      <c r="AB249" s="301">
        <v>256</v>
      </c>
      <c r="AC249" s="301">
        <v>0</v>
      </c>
      <c r="AD249" s="301">
        <v>0</v>
      </c>
      <c r="AE249" s="301">
        <v>0</v>
      </c>
    </row>
    <row r="250" spans="1:31" x14ac:dyDescent="0.25">
      <c r="A250" s="148">
        <v>5841</v>
      </c>
      <c r="B250" s="293" t="s">
        <v>101</v>
      </c>
      <c r="C250" s="301">
        <v>3656</v>
      </c>
      <c r="D250" s="304">
        <v>81.5</v>
      </c>
      <c r="E250" s="305">
        <v>1.5</v>
      </c>
      <c r="F250" s="300">
        <v>5825117.6699999999</v>
      </c>
      <c r="G250" s="301">
        <v>1797489.72</v>
      </c>
      <c r="H250" s="301">
        <v>157399.70000000001</v>
      </c>
      <c r="I250" s="301">
        <v>23200</v>
      </c>
      <c r="J250" s="301">
        <v>813757.69</v>
      </c>
      <c r="K250" s="301">
        <v>30588.06</v>
      </c>
      <c r="L250" s="301">
        <v>-116418.19</v>
      </c>
      <c r="M250" s="301">
        <v>9067</v>
      </c>
      <c r="N250" s="302">
        <f t="shared" si="6"/>
        <v>17828.665483962352</v>
      </c>
      <c r="O250" s="301">
        <v>1668657</v>
      </c>
      <c r="P250" s="301">
        <v>448589.12</v>
      </c>
      <c r="Q250" s="301">
        <v>5882.55</v>
      </c>
      <c r="R250" s="301">
        <v>-14362.36</v>
      </c>
      <c r="S250" s="301">
        <v>584416.6</v>
      </c>
      <c r="T250" s="301">
        <v>802206.2</v>
      </c>
      <c r="U250" s="301">
        <v>331683.95</v>
      </c>
      <c r="V250" s="301">
        <v>13252.9</v>
      </c>
      <c r="W250" s="302">
        <f t="shared" si="7"/>
        <v>12398356.275483962</v>
      </c>
      <c r="X250" s="301">
        <v>9537</v>
      </c>
      <c r="Y250" s="301">
        <v>3656</v>
      </c>
      <c r="Z250" s="303">
        <v>0.70499999999999996</v>
      </c>
      <c r="AA250" s="301">
        <v>404</v>
      </c>
      <c r="AB250" s="301">
        <v>188</v>
      </c>
      <c r="AC250" s="301">
        <v>0</v>
      </c>
      <c r="AD250" s="301">
        <v>0</v>
      </c>
      <c r="AE250" s="301">
        <v>0</v>
      </c>
    </row>
    <row r="251" spans="1:31" x14ac:dyDescent="0.25">
      <c r="A251" s="148">
        <v>5842</v>
      </c>
      <c r="B251" s="293" t="s">
        <v>338</v>
      </c>
      <c r="C251" s="301">
        <v>499</v>
      </c>
      <c r="D251" s="304">
        <v>81</v>
      </c>
      <c r="E251" s="305">
        <v>1.5</v>
      </c>
      <c r="F251" s="300">
        <v>893197.21</v>
      </c>
      <c r="G251" s="301">
        <v>190209.47</v>
      </c>
      <c r="H251" s="301">
        <v>32097.9</v>
      </c>
      <c r="I251" s="301">
        <v>3921.95</v>
      </c>
      <c r="J251" s="301">
        <v>45819.9</v>
      </c>
      <c r="K251" s="301"/>
      <c r="L251" s="301">
        <v>-3112.18</v>
      </c>
      <c r="M251" s="301">
        <v>0</v>
      </c>
      <c r="N251" s="302">
        <f t="shared" si="6"/>
        <v>3555.8522878637191</v>
      </c>
      <c r="O251" s="301">
        <v>151097.75</v>
      </c>
      <c r="P251" s="301">
        <v>20211.2</v>
      </c>
      <c r="Q251" s="301">
        <v>544.85</v>
      </c>
      <c r="R251" s="301">
        <v>-571.42999999999995</v>
      </c>
      <c r="S251" s="301">
        <v>30360</v>
      </c>
      <c r="T251" s="452">
        <f>649395.7-600000</f>
        <v>49395.699999999953</v>
      </c>
      <c r="U251" s="301">
        <v>74119.3</v>
      </c>
      <c r="V251" s="301">
        <v>799</v>
      </c>
      <c r="W251" s="302">
        <f t="shared" si="7"/>
        <v>1491646.4722878635</v>
      </c>
      <c r="X251" s="301">
        <v>2126</v>
      </c>
      <c r="Y251" s="301">
        <v>499</v>
      </c>
      <c r="Z251" s="303">
        <v>0.80800000000000005</v>
      </c>
      <c r="AA251" s="301">
        <v>70</v>
      </c>
      <c r="AB251" s="301">
        <v>54</v>
      </c>
      <c r="AC251" s="301">
        <v>0</v>
      </c>
      <c r="AD251" s="301">
        <v>0</v>
      </c>
      <c r="AE251" s="301">
        <v>0</v>
      </c>
    </row>
    <row r="252" spans="1:31" x14ac:dyDescent="0.25">
      <c r="A252" s="148">
        <v>5843</v>
      </c>
      <c r="B252" s="293" t="s">
        <v>339</v>
      </c>
      <c r="C252" s="301">
        <v>812</v>
      </c>
      <c r="D252" s="304">
        <v>79</v>
      </c>
      <c r="E252" s="305">
        <v>1.5</v>
      </c>
      <c r="F252" s="300">
        <v>2074740.24</v>
      </c>
      <c r="G252" s="301">
        <v>2269077.14</v>
      </c>
      <c r="H252" s="301">
        <v>118403.7</v>
      </c>
      <c r="I252" s="301">
        <v>22476.95</v>
      </c>
      <c r="J252" s="301">
        <v>1389707.16</v>
      </c>
      <c r="K252" s="301">
        <v>1490.95</v>
      </c>
      <c r="L252" s="301">
        <v>-16582.93</v>
      </c>
      <c r="M252" s="301">
        <v>0</v>
      </c>
      <c r="N252" s="302">
        <f t="shared" si="6"/>
        <v>13907.630976204173</v>
      </c>
      <c r="O252" s="301">
        <v>1326009.25</v>
      </c>
      <c r="P252" s="301">
        <v>126705.3</v>
      </c>
      <c r="Q252" s="301">
        <v>32505.75</v>
      </c>
      <c r="R252" s="301">
        <v>-29430.42</v>
      </c>
      <c r="S252" s="301">
        <v>447452.15</v>
      </c>
      <c r="T252" s="301">
        <v>340544.7</v>
      </c>
      <c r="U252" s="301">
        <v>559535.25</v>
      </c>
      <c r="V252" s="301">
        <v>8243.65</v>
      </c>
      <c r="W252" s="302">
        <f t="shared" si="7"/>
        <v>8684786.4709762055</v>
      </c>
      <c r="X252" s="301">
        <v>4104</v>
      </c>
      <c r="Y252" s="301">
        <v>812</v>
      </c>
      <c r="Z252" s="303">
        <v>0.73799999999999999</v>
      </c>
      <c r="AA252" s="301">
        <v>62</v>
      </c>
      <c r="AB252" s="301">
        <v>33</v>
      </c>
      <c r="AC252" s="301">
        <v>0</v>
      </c>
      <c r="AD252" s="301">
        <v>0</v>
      </c>
      <c r="AE252" s="301">
        <v>0</v>
      </c>
    </row>
    <row r="253" spans="1:31" x14ac:dyDescent="0.25">
      <c r="A253" s="148">
        <v>5851</v>
      </c>
      <c r="B253" s="293" t="s">
        <v>340</v>
      </c>
      <c r="C253" s="301">
        <v>430</v>
      </c>
      <c r="D253" s="304">
        <v>65</v>
      </c>
      <c r="E253" s="305">
        <v>1.2</v>
      </c>
      <c r="F253" s="300">
        <v>865473.16</v>
      </c>
      <c r="G253" s="301">
        <v>181692.84</v>
      </c>
      <c r="H253" s="301">
        <v>168739.1</v>
      </c>
      <c r="I253" s="301">
        <v>28372.55</v>
      </c>
      <c r="J253" s="301">
        <v>292503.05</v>
      </c>
      <c r="K253" s="301">
        <v>1556.26</v>
      </c>
      <c r="L253" s="301">
        <v>-7737.75</v>
      </c>
      <c r="M253" s="301">
        <v>0</v>
      </c>
      <c r="N253" s="302">
        <f t="shared" si="6"/>
        <v>19458.712671404592</v>
      </c>
      <c r="O253" s="301">
        <v>273083.3</v>
      </c>
      <c r="P253" s="301">
        <v>36682.89</v>
      </c>
      <c r="Q253" s="301">
        <v>-10940.6</v>
      </c>
      <c r="R253" s="301">
        <v>-684.38</v>
      </c>
      <c r="S253" s="301">
        <v>13500.1</v>
      </c>
      <c r="T253" s="301">
        <v>20693.2</v>
      </c>
      <c r="U253" s="301">
        <v>39533</v>
      </c>
      <c r="V253" s="301">
        <v>39895.1</v>
      </c>
      <c r="W253" s="302">
        <f t="shared" si="7"/>
        <v>1961820.532671405</v>
      </c>
      <c r="X253" s="301">
        <v>256</v>
      </c>
      <c r="Y253" s="301">
        <v>0</v>
      </c>
      <c r="Z253" s="303">
        <v>3.3000000000000002E-2</v>
      </c>
      <c r="AA253" s="301">
        <v>33</v>
      </c>
      <c r="AB253" s="301">
        <v>26</v>
      </c>
      <c r="AC253" s="301">
        <v>0</v>
      </c>
      <c r="AD253" s="301">
        <v>0</v>
      </c>
      <c r="AE253" s="301">
        <v>0</v>
      </c>
    </row>
    <row r="254" spans="1:31" x14ac:dyDescent="0.25">
      <c r="A254" s="148">
        <v>5852</v>
      </c>
      <c r="B254" s="293" t="s">
        <v>341</v>
      </c>
      <c r="C254" s="301">
        <v>530</v>
      </c>
      <c r="D254" s="304">
        <v>62</v>
      </c>
      <c r="E254" s="305">
        <v>0.75</v>
      </c>
      <c r="F254" s="300">
        <v>1690561.7</v>
      </c>
      <c r="G254" s="301">
        <v>558909.99</v>
      </c>
      <c r="H254" s="301">
        <v>-19979.900000000001</v>
      </c>
      <c r="I254" s="301">
        <v>7736.45</v>
      </c>
      <c r="J254" s="301">
        <v>265183.87</v>
      </c>
      <c r="K254" s="301"/>
      <c r="L254" s="301">
        <v>-3902.17</v>
      </c>
      <c r="M254" s="301">
        <v>-193</v>
      </c>
      <c r="N254" s="302">
        <f t="shared" si="6"/>
        <v>-1208.6641030944065</v>
      </c>
      <c r="O254" s="301">
        <v>151082.20000000001</v>
      </c>
      <c r="P254" s="301">
        <v>5188.38</v>
      </c>
      <c r="Q254" s="301">
        <v>12004.85</v>
      </c>
      <c r="R254" s="301">
        <v>-53443.17</v>
      </c>
      <c r="S254" s="301">
        <v>44660</v>
      </c>
      <c r="T254" s="301"/>
      <c r="U254" s="301">
        <v>89880.5</v>
      </c>
      <c r="V254" s="301">
        <v>10546.7</v>
      </c>
      <c r="W254" s="302">
        <f t="shared" si="7"/>
        <v>2757027.7358969063</v>
      </c>
      <c r="X254" s="301">
        <v>180</v>
      </c>
      <c r="Y254" s="301">
        <v>0</v>
      </c>
      <c r="Z254" s="303">
        <v>1.2999999999999999E-2</v>
      </c>
      <c r="AA254" s="301">
        <v>63</v>
      </c>
      <c r="AB254" s="301">
        <v>42</v>
      </c>
      <c r="AC254" s="301">
        <v>0</v>
      </c>
      <c r="AD254" s="301">
        <v>0</v>
      </c>
      <c r="AE254" s="301">
        <v>0</v>
      </c>
    </row>
    <row r="255" spans="1:31" x14ac:dyDescent="0.25">
      <c r="A255" s="148">
        <v>5853</v>
      </c>
      <c r="B255" s="293" t="s">
        <v>342</v>
      </c>
      <c r="C255" s="301">
        <v>825</v>
      </c>
      <c r="D255" s="304">
        <v>71</v>
      </c>
      <c r="E255" s="305">
        <v>1</v>
      </c>
      <c r="F255" s="300">
        <v>2164438.31</v>
      </c>
      <c r="G255" s="301">
        <v>465764.39</v>
      </c>
      <c r="H255" s="301">
        <v>92269.4</v>
      </c>
      <c r="I255" s="301">
        <v>1315.7</v>
      </c>
      <c r="J255" s="301">
        <v>250191.8</v>
      </c>
      <c r="K255" s="301">
        <v>6017.2</v>
      </c>
      <c r="L255" s="301">
        <v>-77949.36</v>
      </c>
      <c r="M255" s="301">
        <v>0</v>
      </c>
      <c r="N255" s="302">
        <f t="shared" si="6"/>
        <v>9238.6501316622616</v>
      </c>
      <c r="O255" s="301">
        <v>231020.79999999999</v>
      </c>
      <c r="P255" s="301">
        <v>58204.160000000003</v>
      </c>
      <c r="Q255" s="301">
        <v>-3460.75</v>
      </c>
      <c r="R255" s="301">
        <v>-2130.1999999999998</v>
      </c>
      <c r="S255" s="301">
        <v>57269.95</v>
      </c>
      <c r="T255" s="301">
        <v>46.3</v>
      </c>
      <c r="U255" s="301">
        <v>48912.4</v>
      </c>
      <c r="V255" s="301">
        <v>113758.2</v>
      </c>
      <c r="W255" s="302">
        <f t="shared" si="7"/>
        <v>3414906.9501316627</v>
      </c>
      <c r="X255" s="301">
        <v>340</v>
      </c>
      <c r="Y255" s="301">
        <v>0</v>
      </c>
      <c r="Z255" s="303">
        <v>0.224</v>
      </c>
      <c r="AA255" s="301">
        <v>99</v>
      </c>
      <c r="AB255" s="301">
        <v>66</v>
      </c>
      <c r="AC255" s="301">
        <v>0</v>
      </c>
      <c r="AD255" s="301">
        <v>0</v>
      </c>
      <c r="AE255" s="301">
        <v>0</v>
      </c>
    </row>
    <row r="256" spans="1:31" x14ac:dyDescent="0.25">
      <c r="A256" s="148">
        <v>5854</v>
      </c>
      <c r="B256" s="293" t="s">
        <v>343</v>
      </c>
      <c r="C256" s="301">
        <v>401</v>
      </c>
      <c r="D256" s="304">
        <v>75</v>
      </c>
      <c r="E256" s="305">
        <v>1.5</v>
      </c>
      <c r="F256" s="300">
        <v>937757.06</v>
      </c>
      <c r="G256" s="301">
        <v>194274.55</v>
      </c>
      <c r="H256" s="301">
        <v>23727.05</v>
      </c>
      <c r="I256" s="301">
        <v>1967.8</v>
      </c>
      <c r="J256" s="301"/>
      <c r="K256" s="301"/>
      <c r="L256" s="301">
        <v>-769.08</v>
      </c>
      <c r="M256" s="301">
        <v>0</v>
      </c>
      <c r="N256" s="302">
        <f t="shared" si="6"/>
        <v>2536.5761145261595</v>
      </c>
      <c r="O256" s="301">
        <v>121207.1</v>
      </c>
      <c r="P256" s="301">
        <v>5845.31</v>
      </c>
      <c r="Q256" s="301">
        <v>2086.9</v>
      </c>
      <c r="R256" s="301">
        <v>-527.5</v>
      </c>
      <c r="S256" s="301">
        <v>21092</v>
      </c>
      <c r="T256" s="301">
        <v>92703.1</v>
      </c>
      <c r="U256" s="301">
        <v>34787.15</v>
      </c>
      <c r="V256" s="301">
        <v>13386.75</v>
      </c>
      <c r="W256" s="302">
        <f t="shared" si="7"/>
        <v>1450074.7661145264</v>
      </c>
      <c r="X256" s="301">
        <v>561</v>
      </c>
      <c r="Y256" s="301">
        <v>284</v>
      </c>
      <c r="Z256" s="303">
        <v>6.3E-2</v>
      </c>
      <c r="AA256" s="301">
        <v>48</v>
      </c>
      <c r="AB256" s="301">
        <v>48</v>
      </c>
      <c r="AC256" s="301">
        <v>0</v>
      </c>
      <c r="AD256" s="301">
        <v>0</v>
      </c>
      <c r="AE256" s="301">
        <v>0</v>
      </c>
    </row>
    <row r="257" spans="1:31" x14ac:dyDescent="0.25">
      <c r="A257" s="148">
        <v>5855</v>
      </c>
      <c r="B257" s="293" t="s">
        <v>344</v>
      </c>
      <c r="C257" s="301">
        <v>623</v>
      </c>
      <c r="D257" s="304">
        <v>53</v>
      </c>
      <c r="E257" s="305">
        <v>1</v>
      </c>
      <c r="F257" s="300">
        <v>2028843.8</v>
      </c>
      <c r="G257" s="301">
        <v>1632979.46</v>
      </c>
      <c r="H257" s="301">
        <v>60071.9</v>
      </c>
      <c r="I257" s="301">
        <v>37836.85</v>
      </c>
      <c r="J257" s="301">
        <v>1048846.4099999999</v>
      </c>
      <c r="K257" s="301">
        <v>87481.55</v>
      </c>
      <c r="L257" s="301">
        <v>-89974.71</v>
      </c>
      <c r="M257" s="301">
        <v>-13450</v>
      </c>
      <c r="N257" s="302">
        <f t="shared" si="6"/>
        <v>9665.4775822047268</v>
      </c>
      <c r="O257" s="301">
        <v>394439.2</v>
      </c>
      <c r="P257" s="301">
        <v>42497.71</v>
      </c>
      <c r="Q257" s="301">
        <v>17249</v>
      </c>
      <c r="R257" s="301">
        <v>-22853.72</v>
      </c>
      <c r="S257" s="301">
        <v>184267.25</v>
      </c>
      <c r="T257" s="301">
        <v>2079</v>
      </c>
      <c r="U257" s="301">
        <v>-86462.45</v>
      </c>
      <c r="V257" s="301">
        <v>8003.75</v>
      </c>
      <c r="W257" s="302">
        <f t="shared" si="7"/>
        <v>5341520.4775822051</v>
      </c>
      <c r="X257" s="301">
        <v>163</v>
      </c>
      <c r="Y257" s="301">
        <v>0</v>
      </c>
      <c r="Z257" s="303">
        <v>6.3E-2</v>
      </c>
      <c r="AA257" s="301">
        <v>56</v>
      </c>
      <c r="AB257" s="301">
        <v>40</v>
      </c>
      <c r="AC257" s="301">
        <v>0</v>
      </c>
      <c r="AD257" s="301">
        <v>0</v>
      </c>
      <c r="AE257" s="301">
        <v>0</v>
      </c>
    </row>
    <row r="258" spans="1:31" x14ac:dyDescent="0.25">
      <c r="A258" s="148">
        <v>5856</v>
      </c>
      <c r="B258" s="293" t="s">
        <v>345</v>
      </c>
      <c r="C258" s="301">
        <v>789</v>
      </c>
      <c r="D258" s="304">
        <v>66.5</v>
      </c>
      <c r="E258" s="305">
        <v>1.3</v>
      </c>
      <c r="F258" s="300">
        <v>1715533.42</v>
      </c>
      <c r="G258" s="301">
        <v>260136.68</v>
      </c>
      <c r="H258" s="301">
        <v>1024.25</v>
      </c>
      <c r="I258" s="301">
        <v>1811.55</v>
      </c>
      <c r="J258" s="301">
        <v>230468.2</v>
      </c>
      <c r="K258" s="301"/>
      <c r="L258" s="301">
        <v>-776.45</v>
      </c>
      <c r="M258" s="301">
        <v>-7000</v>
      </c>
      <c r="N258" s="302">
        <f t="shared" si="6"/>
        <v>279.94802637778713</v>
      </c>
      <c r="O258" s="301">
        <v>268406.3</v>
      </c>
      <c r="P258" s="301">
        <v>21022.47</v>
      </c>
      <c r="Q258" s="301">
        <v>2966.5</v>
      </c>
      <c r="R258" s="301">
        <v>-3138.3</v>
      </c>
      <c r="S258" s="301">
        <v>41040.1</v>
      </c>
      <c r="T258" s="301">
        <v>7600.5</v>
      </c>
      <c r="U258" s="301">
        <v>245667.55</v>
      </c>
      <c r="V258" s="301">
        <v>1523.1</v>
      </c>
      <c r="W258" s="302">
        <f t="shared" si="7"/>
        <v>2786565.8180263778</v>
      </c>
      <c r="X258" s="301">
        <v>700</v>
      </c>
      <c r="Y258" s="301">
        <v>147</v>
      </c>
      <c r="Z258" s="303">
        <v>7.0999999999999994E-2</v>
      </c>
      <c r="AA258" s="301">
        <v>102</v>
      </c>
      <c r="AB258" s="301">
        <v>63</v>
      </c>
      <c r="AC258" s="301">
        <v>0</v>
      </c>
      <c r="AD258" s="301">
        <v>0</v>
      </c>
      <c r="AE258" s="301">
        <v>0</v>
      </c>
    </row>
    <row r="259" spans="1:31" x14ac:dyDescent="0.25">
      <c r="A259" s="148">
        <v>5857</v>
      </c>
      <c r="B259" s="293" t="s">
        <v>346</v>
      </c>
      <c r="C259" s="301">
        <v>1441</v>
      </c>
      <c r="D259" s="304">
        <v>64.5</v>
      </c>
      <c r="E259" s="305">
        <v>1</v>
      </c>
      <c r="F259" s="300">
        <v>4760998.05</v>
      </c>
      <c r="G259" s="301">
        <v>929669.16</v>
      </c>
      <c r="H259" s="301">
        <v>30302.7</v>
      </c>
      <c r="I259" s="301">
        <v>-1384.6</v>
      </c>
      <c r="J259" s="301"/>
      <c r="K259" s="301">
        <v>285.89999999999998</v>
      </c>
      <c r="L259" s="301">
        <v>-16103.92</v>
      </c>
      <c r="M259" s="301">
        <v>-2450</v>
      </c>
      <c r="N259" s="302">
        <f t="shared" si="6"/>
        <v>2854.7729112051225</v>
      </c>
      <c r="O259" s="301">
        <v>429328.85</v>
      </c>
      <c r="P259" s="301">
        <v>81915.14</v>
      </c>
      <c r="Q259" s="301">
        <v>21380.05</v>
      </c>
      <c r="R259" s="301">
        <v>-3419.6</v>
      </c>
      <c r="S259" s="301">
        <v>112919.1</v>
      </c>
      <c r="T259" s="301"/>
      <c r="U259" s="301">
        <v>308619.05</v>
      </c>
      <c r="V259" s="301">
        <v>87820.800000000003</v>
      </c>
      <c r="W259" s="302">
        <f t="shared" si="7"/>
        <v>6742735.4529112047</v>
      </c>
      <c r="X259" s="301">
        <v>772</v>
      </c>
      <c r="Y259" s="301">
        <v>14</v>
      </c>
      <c r="Z259" s="303">
        <v>0.22800000000000001</v>
      </c>
      <c r="AA259" s="301">
        <v>166</v>
      </c>
      <c r="AB259" s="301">
        <v>78</v>
      </c>
      <c r="AC259" s="301">
        <v>0</v>
      </c>
      <c r="AD259" s="301">
        <v>0</v>
      </c>
      <c r="AE259" s="301">
        <v>0</v>
      </c>
    </row>
    <row r="260" spans="1:31" x14ac:dyDescent="0.25">
      <c r="A260" s="148">
        <v>5858</v>
      </c>
      <c r="B260" s="293" t="s">
        <v>347</v>
      </c>
      <c r="C260" s="301">
        <v>637</v>
      </c>
      <c r="D260" s="304">
        <v>58.5</v>
      </c>
      <c r="E260" s="305">
        <v>1.5</v>
      </c>
      <c r="F260" s="300">
        <v>1737548.99</v>
      </c>
      <c r="G260" s="301">
        <v>364600.08</v>
      </c>
      <c r="H260" s="301">
        <v>14135.95</v>
      </c>
      <c r="I260" s="301">
        <v>1454.6</v>
      </c>
      <c r="J260" s="301">
        <v>98270.3</v>
      </c>
      <c r="K260" s="301">
        <v>9306.7000000000007</v>
      </c>
      <c r="L260" s="301">
        <v>-39924</v>
      </c>
      <c r="M260" s="301">
        <v>0</v>
      </c>
      <c r="N260" s="302">
        <f t="shared" si="6"/>
        <v>1539.0872778913213</v>
      </c>
      <c r="O260" s="301">
        <v>254656.15</v>
      </c>
      <c r="P260" s="301">
        <v>54504.56</v>
      </c>
      <c r="Q260" s="301">
        <v>1298.4000000000001</v>
      </c>
      <c r="R260" s="301">
        <v>-2098.9499999999998</v>
      </c>
      <c r="S260" s="301">
        <v>27031.45</v>
      </c>
      <c r="T260" s="301">
        <v>1253.7</v>
      </c>
      <c r="U260" s="301">
        <v>43800.35</v>
      </c>
      <c r="V260" s="301">
        <v>7004.8</v>
      </c>
      <c r="W260" s="302">
        <f t="shared" si="7"/>
        <v>2574382.1672778912</v>
      </c>
      <c r="X260" s="301">
        <v>262</v>
      </c>
      <c r="Y260" s="301">
        <v>0</v>
      </c>
      <c r="Z260" s="303">
        <v>7.3999999999999996E-2</v>
      </c>
      <c r="AA260" s="301">
        <v>75</v>
      </c>
      <c r="AB260" s="301">
        <v>66</v>
      </c>
      <c r="AC260" s="301">
        <v>0</v>
      </c>
      <c r="AD260" s="301">
        <v>0</v>
      </c>
      <c r="AE260" s="301">
        <v>0</v>
      </c>
    </row>
    <row r="261" spans="1:31" x14ac:dyDescent="0.25">
      <c r="A261" s="148">
        <v>5859</v>
      </c>
      <c r="B261" s="293" t="s">
        <v>348</v>
      </c>
      <c r="C261" s="301">
        <v>2749</v>
      </c>
      <c r="D261" s="304">
        <v>63.5</v>
      </c>
      <c r="E261" s="305">
        <v>1</v>
      </c>
      <c r="F261" s="300">
        <v>7853278.9800000004</v>
      </c>
      <c r="G261" s="301">
        <v>1888691.68</v>
      </c>
      <c r="H261" s="301">
        <v>107437.15</v>
      </c>
      <c r="I261" s="301">
        <v>43125.3</v>
      </c>
      <c r="J261" s="301">
        <v>387934.9</v>
      </c>
      <c r="K261" s="301">
        <v>212.81</v>
      </c>
      <c r="L261" s="301">
        <v>-29708.12</v>
      </c>
      <c r="M261" s="301">
        <v>-2500</v>
      </c>
      <c r="N261" s="302">
        <f t="shared" si="6"/>
        <v>14863.410933106798</v>
      </c>
      <c r="O261" s="301">
        <v>720732.65</v>
      </c>
      <c r="P261" s="301">
        <v>131610.04999999999</v>
      </c>
      <c r="Q261" s="301">
        <v>27593.8</v>
      </c>
      <c r="R261" s="301">
        <v>-23361.11</v>
      </c>
      <c r="S261" s="301">
        <v>255934.25</v>
      </c>
      <c r="T261" s="301">
        <v>604304.19999999995</v>
      </c>
      <c r="U261" s="301">
        <v>304991.90000000002</v>
      </c>
      <c r="V261" s="301">
        <v>86160.35</v>
      </c>
      <c r="W261" s="302">
        <f t="shared" si="7"/>
        <v>12371302.200933112</v>
      </c>
      <c r="X261" s="301">
        <v>385</v>
      </c>
      <c r="Y261" s="301">
        <v>7</v>
      </c>
      <c r="Z261" s="303">
        <v>0.161</v>
      </c>
      <c r="AA261" s="301">
        <v>357</v>
      </c>
      <c r="AB261" s="301">
        <v>17</v>
      </c>
      <c r="AC261" s="301">
        <v>0</v>
      </c>
      <c r="AD261" s="301">
        <v>0</v>
      </c>
      <c r="AE261" s="301">
        <v>0</v>
      </c>
    </row>
    <row r="262" spans="1:31" x14ac:dyDescent="0.25">
      <c r="A262" s="148">
        <v>5860</v>
      </c>
      <c r="B262" s="293" t="s">
        <v>349</v>
      </c>
      <c r="C262" s="301">
        <v>1588</v>
      </c>
      <c r="D262" s="304">
        <v>58.5</v>
      </c>
      <c r="E262" s="305">
        <v>1.3</v>
      </c>
      <c r="F262" s="300">
        <v>4058518.73</v>
      </c>
      <c r="G262" s="301">
        <v>1420303.77</v>
      </c>
      <c r="H262" s="301">
        <v>116619.05</v>
      </c>
      <c r="I262" s="301">
        <v>19276.599999999999</v>
      </c>
      <c r="J262" s="301">
        <v>486682.68</v>
      </c>
      <c r="K262" s="301">
        <v>10718.56</v>
      </c>
      <c r="L262" s="301">
        <v>-35574.550000000003</v>
      </c>
      <c r="M262" s="301">
        <v>-150</v>
      </c>
      <c r="N262" s="302">
        <f t="shared" si="6"/>
        <v>13415.515554985021</v>
      </c>
      <c r="O262" s="301">
        <v>752269.35</v>
      </c>
      <c r="P262" s="301">
        <v>53184.35</v>
      </c>
      <c r="Q262" s="301">
        <v>39295.9</v>
      </c>
      <c r="R262" s="301">
        <v>-43149.64</v>
      </c>
      <c r="S262" s="301">
        <v>253676</v>
      </c>
      <c r="T262" s="301">
        <v>65771.399999999994</v>
      </c>
      <c r="U262" s="301">
        <v>204006.2</v>
      </c>
      <c r="V262" s="301">
        <v>40716.400000000001</v>
      </c>
      <c r="W262" s="302">
        <f t="shared" si="7"/>
        <v>7455580.3155549848</v>
      </c>
      <c r="X262" s="301">
        <v>286</v>
      </c>
      <c r="Y262" s="301">
        <v>0</v>
      </c>
      <c r="Z262" s="303">
        <v>6.9000000000000006E-2</v>
      </c>
      <c r="AA262" s="301">
        <v>158</v>
      </c>
      <c r="AB262" s="301">
        <v>96</v>
      </c>
      <c r="AC262" s="301">
        <v>0</v>
      </c>
      <c r="AD262" s="301">
        <v>0</v>
      </c>
      <c r="AE262" s="301">
        <v>0</v>
      </c>
    </row>
    <row r="263" spans="1:31" x14ac:dyDescent="0.25">
      <c r="A263" s="148">
        <v>5861</v>
      </c>
      <c r="B263" s="293" t="s">
        <v>350</v>
      </c>
      <c r="C263" s="301">
        <v>6537</v>
      </c>
      <c r="D263" s="304">
        <v>59.5</v>
      </c>
      <c r="E263" s="305">
        <v>1</v>
      </c>
      <c r="F263" s="300">
        <v>14083487.310000001</v>
      </c>
      <c r="G263" s="301">
        <v>3154304.21</v>
      </c>
      <c r="H263" s="452">
        <f>31354428.25-3350000</f>
        <v>28004428.25</v>
      </c>
      <c r="I263" s="452">
        <f>4324456.85-330000</f>
        <v>3994456.8499999996</v>
      </c>
      <c r="J263" s="301">
        <v>318902.87</v>
      </c>
      <c r="K263" s="301">
        <v>62233.17</v>
      </c>
      <c r="L263" s="301">
        <v>-247662.71</v>
      </c>
      <c r="M263" s="301">
        <v>-30677</v>
      </c>
      <c r="N263" s="302">
        <f t="shared" si="6"/>
        <v>3158905.6809487902</v>
      </c>
      <c r="O263" s="301">
        <v>1992797.5</v>
      </c>
      <c r="P263" s="301">
        <v>861848.21</v>
      </c>
      <c r="Q263" s="301">
        <v>365876.25</v>
      </c>
      <c r="R263" s="301">
        <v>-131720.28</v>
      </c>
      <c r="S263" s="301">
        <v>865992.15</v>
      </c>
      <c r="T263" s="301">
        <v>652923.4</v>
      </c>
      <c r="U263" s="301">
        <v>984624.25</v>
      </c>
      <c r="V263" s="301">
        <v>582526.80000000005</v>
      </c>
      <c r="W263" s="302">
        <f t="shared" si="7"/>
        <v>58673246.910948776</v>
      </c>
      <c r="X263" s="301">
        <v>268</v>
      </c>
      <c r="Y263" s="301">
        <v>0</v>
      </c>
      <c r="Z263" s="303">
        <v>4.1000000000000002E-2</v>
      </c>
      <c r="AA263" s="301">
        <v>669</v>
      </c>
      <c r="AB263" s="301">
        <v>14</v>
      </c>
      <c r="AC263" s="301">
        <v>330646.84999999998</v>
      </c>
      <c r="AD263" s="301">
        <v>14747</v>
      </c>
      <c r="AE263" s="301">
        <v>0</v>
      </c>
    </row>
    <row r="264" spans="1:31" x14ac:dyDescent="0.25">
      <c r="A264" s="148">
        <v>5862</v>
      </c>
      <c r="B264" s="293" t="s">
        <v>351</v>
      </c>
      <c r="C264" s="301">
        <v>238</v>
      </c>
      <c r="D264" s="304">
        <v>79</v>
      </c>
      <c r="E264" s="305">
        <v>1</v>
      </c>
      <c r="F264" s="300">
        <v>766026.35</v>
      </c>
      <c r="G264" s="301">
        <v>68695.77</v>
      </c>
      <c r="H264" s="301">
        <v>5715.05</v>
      </c>
      <c r="I264" s="301">
        <v>1375.9</v>
      </c>
      <c r="J264" s="301"/>
      <c r="K264" s="301"/>
      <c r="L264" s="301">
        <v>-4001.47</v>
      </c>
      <c r="M264" s="301">
        <v>0</v>
      </c>
      <c r="N264" s="302">
        <f t="shared" si="6"/>
        <v>700.01320884532402</v>
      </c>
      <c r="O264" s="301">
        <v>50741</v>
      </c>
      <c r="P264" s="301">
        <v>84722.65</v>
      </c>
      <c r="Q264" s="301">
        <v>3988.35</v>
      </c>
      <c r="R264" s="301">
        <v>-68.75</v>
      </c>
      <c r="S264" s="301">
        <v>25465</v>
      </c>
      <c r="T264" s="301">
        <v>2188.6</v>
      </c>
      <c r="U264" s="301"/>
      <c r="V264" s="301">
        <v>10598.85</v>
      </c>
      <c r="W264" s="302">
        <f t="shared" si="7"/>
        <v>1016147.3132088453</v>
      </c>
      <c r="X264" s="301">
        <v>108</v>
      </c>
      <c r="Y264" s="301">
        <v>0</v>
      </c>
      <c r="Z264" s="303">
        <v>0.221</v>
      </c>
      <c r="AA264" s="301">
        <v>19</v>
      </c>
      <c r="AB264" s="301">
        <v>5</v>
      </c>
      <c r="AC264" s="301">
        <v>0</v>
      </c>
      <c r="AD264" s="301">
        <v>0</v>
      </c>
      <c r="AE264" s="301">
        <v>0</v>
      </c>
    </row>
    <row r="265" spans="1:31" x14ac:dyDescent="0.25">
      <c r="A265" s="148">
        <v>5863</v>
      </c>
      <c r="B265" s="293" t="s">
        <v>352</v>
      </c>
      <c r="C265" s="301">
        <v>387</v>
      </c>
      <c r="D265" s="304">
        <v>65</v>
      </c>
      <c r="E265" s="305">
        <v>1</v>
      </c>
      <c r="F265" s="300">
        <v>945366.33</v>
      </c>
      <c r="G265" s="301">
        <v>211355.49</v>
      </c>
      <c r="H265" s="301">
        <v>18436.849999999999</v>
      </c>
      <c r="I265" s="301">
        <v>9984.6</v>
      </c>
      <c r="J265" s="301">
        <v>30606.55</v>
      </c>
      <c r="K265" s="301"/>
      <c r="L265" s="301">
        <v>-3587.75</v>
      </c>
      <c r="M265" s="301">
        <v>0</v>
      </c>
      <c r="N265" s="302">
        <f t="shared" ref="N265:N307" si="8">$N$308/SUM($H$308:$I$308)*(H265+I265)</f>
        <v>2805.7439996808507</v>
      </c>
      <c r="O265" s="301">
        <v>98899.1</v>
      </c>
      <c r="P265" s="301">
        <v>-8185.81</v>
      </c>
      <c r="Q265" s="301">
        <v>2397.9</v>
      </c>
      <c r="R265" s="301">
        <v>-263.85000000000002</v>
      </c>
      <c r="S265" s="301">
        <v>32442.6</v>
      </c>
      <c r="T265" s="301">
        <v>11179.1</v>
      </c>
      <c r="U265" s="301">
        <v>59564.15</v>
      </c>
      <c r="V265" s="301">
        <v>20613.25</v>
      </c>
      <c r="W265" s="302">
        <f t="shared" ref="W265:W307" si="9">SUM(F265:V265)</f>
        <v>1431614.2539996807</v>
      </c>
      <c r="X265" s="301">
        <v>109</v>
      </c>
      <c r="Y265" s="301">
        <v>0</v>
      </c>
      <c r="Z265" s="303">
        <v>0.152</v>
      </c>
      <c r="AA265" s="301">
        <v>36</v>
      </c>
      <c r="AB265" s="301">
        <v>22</v>
      </c>
      <c r="AC265" s="301">
        <v>0</v>
      </c>
      <c r="AD265" s="301">
        <v>0</v>
      </c>
      <c r="AE265" s="301">
        <v>0</v>
      </c>
    </row>
    <row r="266" spans="1:31" x14ac:dyDescent="0.25">
      <c r="A266" s="148">
        <v>5871</v>
      </c>
      <c r="B266" s="293" t="s">
        <v>353</v>
      </c>
      <c r="C266" s="301">
        <v>1538</v>
      </c>
      <c r="D266" s="304">
        <v>77.209999999999994</v>
      </c>
      <c r="E266" s="305">
        <v>1</v>
      </c>
      <c r="F266" s="300">
        <v>2902899.13</v>
      </c>
      <c r="G266" s="301">
        <v>529582.56999999995</v>
      </c>
      <c r="H266" s="301">
        <v>86833.7</v>
      </c>
      <c r="I266" s="301">
        <v>24856.5</v>
      </c>
      <c r="J266" s="301"/>
      <c r="K266" s="301">
        <v>1806.78</v>
      </c>
      <c r="L266" s="301">
        <v>-15203.46</v>
      </c>
      <c r="M266" s="301">
        <v>-3024.66</v>
      </c>
      <c r="N266" s="302">
        <f t="shared" si="8"/>
        <v>11025.971879448593</v>
      </c>
      <c r="O266" s="301">
        <v>309187.90000000002</v>
      </c>
      <c r="P266" s="301">
        <v>14949.35</v>
      </c>
      <c r="Q266" s="301">
        <v>5558.2</v>
      </c>
      <c r="R266" s="301">
        <v>-235.65</v>
      </c>
      <c r="S266" s="301">
        <v>127553.3</v>
      </c>
      <c r="T266" s="301">
        <v>54676.3</v>
      </c>
      <c r="U266" s="301">
        <v>113006.95</v>
      </c>
      <c r="V266" s="301">
        <v>701183.25</v>
      </c>
      <c r="W266" s="302">
        <f t="shared" si="9"/>
        <v>4864656.1318794489</v>
      </c>
      <c r="X266" s="301">
        <v>3145</v>
      </c>
      <c r="Y266" s="301">
        <v>1538</v>
      </c>
      <c r="Z266" s="303">
        <v>0.20399999999999999</v>
      </c>
      <c r="AA266" s="301">
        <v>160</v>
      </c>
      <c r="AB266" s="301">
        <v>118</v>
      </c>
      <c r="AC266" s="301">
        <v>0</v>
      </c>
      <c r="AD266" s="301">
        <v>0</v>
      </c>
      <c r="AE266" s="301">
        <v>0</v>
      </c>
    </row>
    <row r="267" spans="1:31" x14ac:dyDescent="0.25">
      <c r="A267" s="148">
        <v>5872</v>
      </c>
      <c r="B267" s="293" t="s">
        <v>354</v>
      </c>
      <c r="C267" s="301">
        <v>4760</v>
      </c>
      <c r="D267" s="304">
        <v>66.33</v>
      </c>
      <c r="E267" s="305">
        <v>1</v>
      </c>
      <c r="F267" s="300">
        <v>7145636.9699999997</v>
      </c>
      <c r="G267" s="301">
        <v>1052446.1000000001</v>
      </c>
      <c r="H267" s="301">
        <v>12601022.9</v>
      </c>
      <c r="I267" s="301">
        <v>373460.25</v>
      </c>
      <c r="J267" s="301"/>
      <c r="K267" s="301">
        <v>46879.89</v>
      </c>
      <c r="L267" s="301">
        <v>-127250.74</v>
      </c>
      <c r="M267" s="301">
        <v>-66.66</v>
      </c>
      <c r="N267" s="302">
        <f t="shared" si="8"/>
        <v>1280831.1415171572</v>
      </c>
      <c r="O267" s="301">
        <v>860230.35</v>
      </c>
      <c r="P267" s="301">
        <v>623089.13</v>
      </c>
      <c r="Q267" s="301">
        <v>18107</v>
      </c>
      <c r="R267" s="301">
        <v>-2458.8200000000002</v>
      </c>
      <c r="S267" s="301">
        <v>420682.25</v>
      </c>
      <c r="T267" s="301">
        <v>295038.7</v>
      </c>
      <c r="U267" s="301">
        <v>178632.2</v>
      </c>
      <c r="V267" s="301">
        <v>6670500.4500000002</v>
      </c>
      <c r="W267" s="302">
        <f t="shared" si="9"/>
        <v>31436781.111517157</v>
      </c>
      <c r="X267" s="301">
        <v>9779</v>
      </c>
      <c r="Y267" s="301">
        <v>4760</v>
      </c>
      <c r="Z267" s="303">
        <v>0.127</v>
      </c>
      <c r="AA267" s="301">
        <v>527</v>
      </c>
      <c r="AB267" s="301">
        <v>89</v>
      </c>
      <c r="AC267" s="301">
        <v>0</v>
      </c>
      <c r="AD267" s="301">
        <v>0</v>
      </c>
      <c r="AE267" s="301">
        <v>0</v>
      </c>
    </row>
    <row r="268" spans="1:31" x14ac:dyDescent="0.25">
      <c r="A268" s="148">
        <v>5873</v>
      </c>
      <c r="B268" s="293" t="s">
        <v>355</v>
      </c>
      <c r="C268" s="301">
        <v>925</v>
      </c>
      <c r="D268" s="304">
        <v>70</v>
      </c>
      <c r="E268" s="305">
        <v>0.8</v>
      </c>
      <c r="F268" s="300">
        <v>1504828.82</v>
      </c>
      <c r="G268" s="301">
        <v>390357.83</v>
      </c>
      <c r="H268" s="301">
        <v>102136.9</v>
      </c>
      <c r="I268" s="301">
        <v>12379.25</v>
      </c>
      <c r="J268" s="301"/>
      <c r="K268" s="301">
        <v>4511.55</v>
      </c>
      <c r="L268" s="301">
        <v>-33153.089999999997</v>
      </c>
      <c r="M268" s="301">
        <v>-2650</v>
      </c>
      <c r="N268" s="302">
        <f t="shared" si="8"/>
        <v>11304.947521292977</v>
      </c>
      <c r="O268" s="301">
        <v>124940</v>
      </c>
      <c r="P268" s="301">
        <v>60518.12</v>
      </c>
      <c r="Q268" s="301"/>
      <c r="R268" s="301">
        <v>-336.93</v>
      </c>
      <c r="S268" s="301">
        <v>81280.75</v>
      </c>
      <c r="T268" s="301"/>
      <c r="U268" s="301">
        <v>106598.7</v>
      </c>
      <c r="V268" s="301">
        <v>1193711.25</v>
      </c>
      <c r="W268" s="302">
        <f t="shared" si="9"/>
        <v>3556428.0975212934</v>
      </c>
      <c r="X268" s="301">
        <v>3181</v>
      </c>
      <c r="Y268" s="301">
        <v>925</v>
      </c>
      <c r="Z268" s="303">
        <v>0.123</v>
      </c>
      <c r="AA268" s="301">
        <v>102</v>
      </c>
      <c r="AB268" s="301">
        <v>76</v>
      </c>
      <c r="AC268" s="301">
        <v>0</v>
      </c>
      <c r="AD268" s="301">
        <v>0</v>
      </c>
      <c r="AE268" s="301">
        <v>0</v>
      </c>
    </row>
    <row r="269" spans="1:31" x14ac:dyDescent="0.25">
      <c r="A269" s="148">
        <v>5882</v>
      </c>
      <c r="B269" s="293" t="s">
        <v>356</v>
      </c>
      <c r="C269" s="301">
        <v>3340</v>
      </c>
      <c r="D269" s="304">
        <v>68</v>
      </c>
      <c r="E269" s="305">
        <v>1</v>
      </c>
      <c r="F269" s="300">
        <v>9442301.5199999996</v>
      </c>
      <c r="G269" s="301">
        <v>2157573.62</v>
      </c>
      <c r="H269" s="301">
        <v>136934.15</v>
      </c>
      <c r="I269" s="301">
        <v>23224.7</v>
      </c>
      <c r="J269" s="301">
        <v>513516.3</v>
      </c>
      <c r="K269" s="301">
        <v>18746.75</v>
      </c>
      <c r="L269" s="301">
        <v>-174751.69</v>
      </c>
      <c r="M269" s="301">
        <v>-4049.66</v>
      </c>
      <c r="N269" s="302">
        <f t="shared" si="8"/>
        <v>15810.760266745205</v>
      </c>
      <c r="O269" s="301">
        <v>1103305.68</v>
      </c>
      <c r="P269" s="301">
        <v>427364.26</v>
      </c>
      <c r="Q269" s="301">
        <v>100248.65</v>
      </c>
      <c r="R269" s="301">
        <v>-24583.07</v>
      </c>
      <c r="S269" s="301">
        <v>611176.55000000005</v>
      </c>
      <c r="T269" s="301">
        <v>242082.1</v>
      </c>
      <c r="U269" s="301">
        <v>486509.2</v>
      </c>
      <c r="V269" s="301">
        <v>17427</v>
      </c>
      <c r="W269" s="302">
        <f t="shared" si="9"/>
        <v>15092836.820266746</v>
      </c>
      <c r="X269" s="301">
        <v>1024</v>
      </c>
      <c r="Y269" s="301">
        <v>1107</v>
      </c>
      <c r="Z269" s="303">
        <v>0.32900000000000001</v>
      </c>
      <c r="AA269" s="301">
        <v>278</v>
      </c>
      <c r="AB269" s="301">
        <v>93</v>
      </c>
      <c r="AC269" s="301">
        <v>0</v>
      </c>
      <c r="AD269" s="301">
        <v>0</v>
      </c>
      <c r="AE269" s="301">
        <v>1</v>
      </c>
    </row>
    <row r="270" spans="1:31" x14ac:dyDescent="0.25">
      <c r="A270" s="148">
        <v>5883</v>
      </c>
      <c r="B270" s="293" t="s">
        <v>357</v>
      </c>
      <c r="C270" s="301">
        <v>2322</v>
      </c>
      <c r="D270" s="304">
        <v>67.5</v>
      </c>
      <c r="E270" s="305">
        <v>1</v>
      </c>
      <c r="F270" s="300">
        <v>9382129.2799999993</v>
      </c>
      <c r="G270" s="301">
        <v>1889621.6</v>
      </c>
      <c r="H270" s="301">
        <v>98655.1</v>
      </c>
      <c r="I270" s="301">
        <v>23727.95</v>
      </c>
      <c r="J270" s="301">
        <v>501781</v>
      </c>
      <c r="K270" s="301">
        <v>33806.85</v>
      </c>
      <c r="L270" s="301">
        <v>-55635.17</v>
      </c>
      <c r="M270" s="301">
        <v>0</v>
      </c>
      <c r="N270" s="302">
        <f t="shared" si="8"/>
        <v>12081.561925944721</v>
      </c>
      <c r="O270" s="301">
        <v>751675.35</v>
      </c>
      <c r="P270" s="301">
        <v>45201.57</v>
      </c>
      <c r="Q270" s="301">
        <v>21064</v>
      </c>
      <c r="R270" s="301">
        <v>-30888.5</v>
      </c>
      <c r="S270" s="301">
        <v>371486.85</v>
      </c>
      <c r="T270" s="301">
        <v>295572.2</v>
      </c>
      <c r="U270" s="301">
        <v>335581.5</v>
      </c>
      <c r="V270" s="301">
        <v>6678.2</v>
      </c>
      <c r="W270" s="302">
        <f t="shared" si="9"/>
        <v>13682539.34192594</v>
      </c>
      <c r="X270" s="301">
        <v>106</v>
      </c>
      <c r="Y270" s="301">
        <v>0</v>
      </c>
      <c r="Z270" s="303">
        <v>0.22500000000000001</v>
      </c>
      <c r="AA270" s="301">
        <v>200</v>
      </c>
      <c r="AB270" s="301">
        <v>3</v>
      </c>
      <c r="AC270" s="301">
        <v>334404</v>
      </c>
      <c r="AD270" s="301">
        <v>-43059</v>
      </c>
      <c r="AE270" s="301">
        <v>1</v>
      </c>
    </row>
    <row r="271" spans="1:31" x14ac:dyDescent="0.25">
      <c r="A271" s="148">
        <v>5884</v>
      </c>
      <c r="B271" s="293" t="s">
        <v>358</v>
      </c>
      <c r="C271" s="301">
        <v>3389</v>
      </c>
      <c r="D271" s="304">
        <v>64.5</v>
      </c>
      <c r="E271" s="305">
        <v>1.2</v>
      </c>
      <c r="F271" s="300">
        <v>5428891.3099999996</v>
      </c>
      <c r="G271" s="301">
        <v>842685.26</v>
      </c>
      <c r="H271" s="301">
        <v>2596193.9</v>
      </c>
      <c r="I271" s="301">
        <v>22834.35</v>
      </c>
      <c r="J271" s="301">
        <v>35229.4</v>
      </c>
      <c r="K271" s="301">
        <v>102575.4</v>
      </c>
      <c r="L271" s="301">
        <v>-144256.37</v>
      </c>
      <c r="M271" s="301">
        <v>0</v>
      </c>
      <c r="N271" s="302">
        <f t="shared" si="8"/>
        <v>258548.48353733323</v>
      </c>
      <c r="O271" s="301">
        <v>1015825.85</v>
      </c>
      <c r="P271" s="301">
        <v>168431.63</v>
      </c>
      <c r="Q271" s="301">
        <v>190820</v>
      </c>
      <c r="R271" s="301">
        <v>-4277.8599999999997</v>
      </c>
      <c r="S271" s="301">
        <v>207181.25</v>
      </c>
      <c r="T271" s="301">
        <v>315747.7</v>
      </c>
      <c r="U271" s="301">
        <v>303937.3</v>
      </c>
      <c r="V271" s="301">
        <v>621863.85</v>
      </c>
      <c r="W271" s="302">
        <f t="shared" si="9"/>
        <v>11962231.453537334</v>
      </c>
      <c r="X271" s="301">
        <v>669</v>
      </c>
      <c r="Y271" s="301">
        <v>746</v>
      </c>
      <c r="Z271" s="303">
        <v>0.38100000000000001</v>
      </c>
      <c r="AA271" s="301">
        <v>358</v>
      </c>
      <c r="AB271" s="301">
        <v>108</v>
      </c>
      <c r="AC271" s="301">
        <v>903369</v>
      </c>
      <c r="AD271" s="301">
        <v>-107020</v>
      </c>
      <c r="AE271" s="301">
        <v>1</v>
      </c>
    </row>
    <row r="272" spans="1:31" x14ac:dyDescent="0.25">
      <c r="A272" s="148">
        <v>5885</v>
      </c>
      <c r="B272" s="293" t="s">
        <v>359</v>
      </c>
      <c r="C272" s="301">
        <v>1921</v>
      </c>
      <c r="D272" s="304">
        <v>69.5</v>
      </c>
      <c r="E272" s="305">
        <v>1.2</v>
      </c>
      <c r="F272" s="300">
        <v>5711913.2800000003</v>
      </c>
      <c r="G272" s="301">
        <v>922094.09</v>
      </c>
      <c r="H272" s="301">
        <v>53885.85</v>
      </c>
      <c r="I272" s="301">
        <v>10355.65</v>
      </c>
      <c r="J272" s="301">
        <v>97764.94</v>
      </c>
      <c r="K272" s="301">
        <v>68297.03</v>
      </c>
      <c r="L272" s="301">
        <v>-71643.22</v>
      </c>
      <c r="M272" s="301">
        <v>0</v>
      </c>
      <c r="N272" s="302">
        <f t="shared" si="8"/>
        <v>6341.8721829990163</v>
      </c>
      <c r="O272" s="301">
        <v>587705.44999999995</v>
      </c>
      <c r="P272" s="301">
        <v>-26569.32</v>
      </c>
      <c r="Q272" s="301">
        <v>52463.55</v>
      </c>
      <c r="R272" s="301">
        <v>-6394.05</v>
      </c>
      <c r="S272" s="301">
        <v>343831.9</v>
      </c>
      <c r="T272" s="301">
        <v>52953.9</v>
      </c>
      <c r="U272" s="301">
        <v>241966.85</v>
      </c>
      <c r="V272" s="301">
        <v>7430.95</v>
      </c>
      <c r="W272" s="302">
        <f t="shared" si="9"/>
        <v>8052398.7221830003</v>
      </c>
      <c r="X272" s="301">
        <v>214</v>
      </c>
      <c r="Y272" s="301">
        <v>216</v>
      </c>
      <c r="Z272" s="303">
        <v>0.17399999999999999</v>
      </c>
      <c r="AA272" s="301">
        <v>233</v>
      </c>
      <c r="AB272" s="301">
        <v>47</v>
      </c>
      <c r="AC272" s="301">
        <v>0</v>
      </c>
      <c r="AD272" s="301">
        <v>0</v>
      </c>
      <c r="AE272" s="301">
        <v>1</v>
      </c>
    </row>
    <row r="273" spans="1:31" x14ac:dyDescent="0.25">
      <c r="A273" s="148">
        <v>5886</v>
      </c>
      <c r="B273" s="293" t="s">
        <v>360</v>
      </c>
      <c r="C273" s="301">
        <v>26964</v>
      </c>
      <c r="D273" s="304">
        <v>65</v>
      </c>
      <c r="E273" s="305">
        <v>1.5</v>
      </c>
      <c r="F273" s="300">
        <v>45219754.960000001</v>
      </c>
      <c r="G273" s="301">
        <v>11296903.550000001</v>
      </c>
      <c r="H273" s="301">
        <v>3163097.25</v>
      </c>
      <c r="I273" s="301">
        <v>691609</v>
      </c>
      <c r="J273" s="301">
        <v>5377468.1799999997</v>
      </c>
      <c r="K273" s="301">
        <v>631363.47</v>
      </c>
      <c r="L273" s="301">
        <v>-4775480.5199999996</v>
      </c>
      <c r="M273" s="301">
        <v>-234478.56</v>
      </c>
      <c r="N273" s="302">
        <f t="shared" si="8"/>
        <v>380533.67901601695</v>
      </c>
      <c r="O273" s="301">
        <v>11504115.279999999</v>
      </c>
      <c r="P273" s="301">
        <v>2613040.96</v>
      </c>
      <c r="Q273" s="301">
        <v>762834</v>
      </c>
      <c r="R273" s="301">
        <v>-162621.25</v>
      </c>
      <c r="S273" s="301">
        <v>5137090.3</v>
      </c>
      <c r="T273" s="452">
        <f>22993059.2-7000000</f>
        <v>15993059.199999999</v>
      </c>
      <c r="U273" s="301">
        <v>4032855.35</v>
      </c>
      <c r="V273" s="301">
        <v>1416315.25</v>
      </c>
      <c r="W273" s="302">
        <f t="shared" si="9"/>
        <v>103047460.099016</v>
      </c>
      <c r="X273" s="301">
        <v>3196</v>
      </c>
      <c r="Y273" s="301">
        <v>1486</v>
      </c>
      <c r="Z273" s="303">
        <v>0.70299999999999996</v>
      </c>
      <c r="AA273" s="301">
        <v>2368</v>
      </c>
      <c r="AB273" s="301">
        <v>164</v>
      </c>
      <c r="AC273" s="301">
        <v>5264177</v>
      </c>
      <c r="AD273" s="301">
        <v>-1463346</v>
      </c>
      <c r="AE273" s="301">
        <v>1</v>
      </c>
    </row>
    <row r="274" spans="1:31" x14ac:dyDescent="0.25">
      <c r="A274" s="148">
        <v>5889</v>
      </c>
      <c r="B274" s="293" t="s">
        <v>361</v>
      </c>
      <c r="C274" s="301">
        <v>12812</v>
      </c>
      <c r="D274" s="304">
        <v>64</v>
      </c>
      <c r="E274" s="305">
        <v>1.2</v>
      </c>
      <c r="F274" s="300">
        <v>26278702.82</v>
      </c>
      <c r="G274" s="301">
        <v>5955634.0999999996</v>
      </c>
      <c r="H274" s="301">
        <v>10306053.050000001</v>
      </c>
      <c r="I274" s="301">
        <v>-86745.9</v>
      </c>
      <c r="J274" s="301">
        <v>1025840.96</v>
      </c>
      <c r="K274" s="301">
        <v>100391.02</v>
      </c>
      <c r="L274" s="301">
        <v>-340513.98</v>
      </c>
      <c r="M274" s="301">
        <v>-1299.6600000000001</v>
      </c>
      <c r="N274" s="302">
        <f t="shared" si="8"/>
        <v>1008842.2553039384</v>
      </c>
      <c r="O274" s="301">
        <v>3370826.35</v>
      </c>
      <c r="P274" s="301">
        <v>1093684.1100000001</v>
      </c>
      <c r="Q274" s="301">
        <v>267276.45</v>
      </c>
      <c r="R274" s="301">
        <v>-1605235.16</v>
      </c>
      <c r="S274" s="301">
        <v>3393757.55</v>
      </c>
      <c r="T274" s="301">
        <v>2550290.7000000002</v>
      </c>
      <c r="U274" s="301">
        <v>1419522</v>
      </c>
      <c r="V274" s="301">
        <v>60579.05</v>
      </c>
      <c r="W274" s="302">
        <f t="shared" si="9"/>
        <v>54797605.715303957</v>
      </c>
      <c r="X274" s="301">
        <v>326</v>
      </c>
      <c r="Y274" s="301">
        <v>0</v>
      </c>
      <c r="Z274" s="303">
        <v>0.12</v>
      </c>
      <c r="AA274" s="301">
        <v>1332</v>
      </c>
      <c r="AB274" s="301">
        <v>17</v>
      </c>
      <c r="AC274" s="301">
        <v>2354546</v>
      </c>
      <c r="AD274" s="301">
        <v>-470167</v>
      </c>
      <c r="AE274" s="301">
        <v>1</v>
      </c>
    </row>
    <row r="275" spans="1:31" x14ac:dyDescent="0.25">
      <c r="A275" s="148">
        <v>5890</v>
      </c>
      <c r="B275" s="293" t="s">
        <v>362</v>
      </c>
      <c r="C275" s="301">
        <v>20146</v>
      </c>
      <c r="D275" s="304">
        <v>74.5</v>
      </c>
      <c r="E275" s="305">
        <v>1.5</v>
      </c>
      <c r="F275" s="300">
        <v>39249496.539999999</v>
      </c>
      <c r="G275" s="301">
        <v>4882461.3099999996</v>
      </c>
      <c r="H275" s="301">
        <v>28892397.850000001</v>
      </c>
      <c r="I275" s="301">
        <v>-434362.35</v>
      </c>
      <c r="J275" s="301">
        <v>181880.05</v>
      </c>
      <c r="K275" s="301">
        <v>206785.5</v>
      </c>
      <c r="L275" s="301">
        <v>-783103.53</v>
      </c>
      <c r="M275" s="301">
        <v>-22351.64</v>
      </c>
      <c r="N275" s="302">
        <f t="shared" si="8"/>
        <v>2809355.6925079348</v>
      </c>
      <c r="O275" s="301">
        <v>6276424.1600000001</v>
      </c>
      <c r="P275" s="301">
        <v>2642860.2000000002</v>
      </c>
      <c r="Q275" s="301">
        <v>964674.35</v>
      </c>
      <c r="R275" s="301">
        <v>-3157025.5</v>
      </c>
      <c r="S275" s="301">
        <v>1870283.35</v>
      </c>
      <c r="T275" s="301">
        <v>865599.6</v>
      </c>
      <c r="U275" s="301">
        <v>1357628.75</v>
      </c>
      <c r="V275" s="301">
        <v>944752.85</v>
      </c>
      <c r="W275" s="302">
        <f t="shared" si="9"/>
        <v>86747757.182507917</v>
      </c>
      <c r="X275" s="301">
        <v>230</v>
      </c>
      <c r="Y275" s="301">
        <v>0</v>
      </c>
      <c r="Z275" s="303">
        <v>0.124</v>
      </c>
      <c r="AA275" s="301">
        <v>2002</v>
      </c>
      <c r="AB275" s="301">
        <v>31</v>
      </c>
      <c r="AC275" s="301">
        <v>3939390</v>
      </c>
      <c r="AD275" s="301">
        <v>-811334</v>
      </c>
      <c r="AE275" s="301">
        <v>1</v>
      </c>
    </row>
    <row r="276" spans="1:31" x14ac:dyDescent="0.25">
      <c r="A276" s="148">
        <v>5891</v>
      </c>
      <c r="B276" s="293" t="s">
        <v>363</v>
      </c>
      <c r="C276" s="301">
        <v>1043</v>
      </c>
      <c r="D276" s="304">
        <v>67.5</v>
      </c>
      <c r="E276" s="305">
        <v>1.5</v>
      </c>
      <c r="F276" s="300">
        <v>1912545.14</v>
      </c>
      <c r="G276" s="301">
        <v>508675.3</v>
      </c>
      <c r="H276" s="301">
        <v>9802.6</v>
      </c>
      <c r="I276" s="301">
        <v>40782.75</v>
      </c>
      <c r="J276" s="301"/>
      <c r="K276" s="301">
        <v>735.6</v>
      </c>
      <c r="L276" s="301">
        <v>-86427.62</v>
      </c>
      <c r="M276" s="301">
        <v>-250</v>
      </c>
      <c r="N276" s="302">
        <f t="shared" si="8"/>
        <v>4993.7474067739586</v>
      </c>
      <c r="O276" s="301">
        <v>469954.45</v>
      </c>
      <c r="P276" s="301">
        <v>60219.75</v>
      </c>
      <c r="Q276" s="301">
        <v>14975.35</v>
      </c>
      <c r="R276" s="301">
        <v>-7422.95</v>
      </c>
      <c r="S276" s="301">
        <v>114856.45</v>
      </c>
      <c r="T276" s="301">
        <v>1000</v>
      </c>
      <c r="U276" s="301">
        <v>147715.65</v>
      </c>
      <c r="V276" s="301">
        <v>17190.900000000001</v>
      </c>
      <c r="W276" s="302">
        <f t="shared" si="9"/>
        <v>3209347.1174067738</v>
      </c>
      <c r="X276" s="301">
        <v>642</v>
      </c>
      <c r="Y276" s="301">
        <v>12</v>
      </c>
      <c r="Z276" s="303">
        <v>0.88100000000000001</v>
      </c>
      <c r="AA276" s="301">
        <v>85</v>
      </c>
      <c r="AB276" s="301">
        <v>17</v>
      </c>
      <c r="AC276" s="301">
        <v>356834</v>
      </c>
      <c r="AD276" s="301">
        <v>-152466</v>
      </c>
      <c r="AE276" s="301">
        <v>1</v>
      </c>
    </row>
    <row r="277" spans="1:31" x14ac:dyDescent="0.25">
      <c r="A277" s="148">
        <v>5892</v>
      </c>
      <c r="B277" s="293" t="s">
        <v>364</v>
      </c>
      <c r="C277" s="301">
        <v>12463</v>
      </c>
      <c r="D277" s="304">
        <v>68.5</v>
      </c>
      <c r="E277" s="305">
        <v>1</v>
      </c>
      <c r="F277" s="300">
        <v>37752733.869999997</v>
      </c>
      <c r="G277" s="301">
        <v>8046443.29</v>
      </c>
      <c r="H277" s="301">
        <v>890324.55</v>
      </c>
      <c r="I277" s="301">
        <v>177035.5</v>
      </c>
      <c r="J277" s="301">
        <v>1016803.77</v>
      </c>
      <c r="K277" s="301">
        <v>61560.37</v>
      </c>
      <c r="L277" s="301">
        <v>-252666.23</v>
      </c>
      <c r="M277" s="301">
        <v>-45603</v>
      </c>
      <c r="N277" s="302">
        <f t="shared" si="8"/>
        <v>105368.97504478319</v>
      </c>
      <c r="O277" s="301">
        <v>3849152.85</v>
      </c>
      <c r="P277" s="301">
        <v>214672.09</v>
      </c>
      <c r="Q277" s="301">
        <v>176006.45</v>
      </c>
      <c r="R277" s="301">
        <v>-255047.02</v>
      </c>
      <c r="S277" s="301">
        <v>2387821.9500000002</v>
      </c>
      <c r="T277" s="301">
        <v>1986264.7</v>
      </c>
      <c r="U277" s="301">
        <v>2656074.7000000002</v>
      </c>
      <c r="V277" s="301">
        <v>335219.55</v>
      </c>
      <c r="W277" s="302">
        <f t="shared" si="9"/>
        <v>59102166.365044788</v>
      </c>
      <c r="X277" s="301">
        <v>3067</v>
      </c>
      <c r="Y277" s="301">
        <v>819</v>
      </c>
      <c r="Z277" s="303">
        <v>0.434</v>
      </c>
      <c r="AA277" s="301">
        <v>1352</v>
      </c>
      <c r="AB277" s="301">
        <v>115</v>
      </c>
      <c r="AC277" s="301">
        <v>1135023</v>
      </c>
      <c r="AD277" s="301">
        <v>-102879</v>
      </c>
      <c r="AE277" s="301">
        <v>1</v>
      </c>
    </row>
    <row r="278" spans="1:31" x14ac:dyDescent="0.25">
      <c r="A278" s="148">
        <v>5902</v>
      </c>
      <c r="B278" s="293" t="s">
        <v>365</v>
      </c>
      <c r="C278" s="301">
        <v>445</v>
      </c>
      <c r="D278" s="304">
        <v>70</v>
      </c>
      <c r="E278" s="305">
        <v>1</v>
      </c>
      <c r="F278" s="300">
        <v>737846.09</v>
      </c>
      <c r="G278" s="301">
        <v>68602.7</v>
      </c>
      <c r="H278" s="301">
        <v>875.55</v>
      </c>
      <c r="I278" s="301">
        <v>441.7</v>
      </c>
      <c r="J278" s="301"/>
      <c r="K278" s="301">
        <v>174.91</v>
      </c>
      <c r="L278" s="301">
        <v>-13428.12</v>
      </c>
      <c r="M278" s="301">
        <v>0</v>
      </c>
      <c r="N278" s="302">
        <f t="shared" si="8"/>
        <v>130.03792148463927</v>
      </c>
      <c r="O278" s="301">
        <v>74724.5</v>
      </c>
      <c r="P278" s="301">
        <v>-4301.55</v>
      </c>
      <c r="Q278" s="301"/>
      <c r="R278" s="301">
        <v>-36.549999999999997</v>
      </c>
      <c r="S278" s="301">
        <v>4723.3999999999996</v>
      </c>
      <c r="T278" s="301"/>
      <c r="U278" s="301">
        <v>24163.7</v>
      </c>
      <c r="V278" s="301">
        <v>0</v>
      </c>
      <c r="W278" s="302">
        <f t="shared" si="9"/>
        <v>893916.36792148452</v>
      </c>
      <c r="X278" s="301">
        <v>646</v>
      </c>
      <c r="Y278" s="301">
        <v>0</v>
      </c>
      <c r="Z278" s="303">
        <v>7.5999999999999998E-2</v>
      </c>
      <c r="AA278" s="301">
        <v>59</v>
      </c>
      <c r="AB278" s="301">
        <v>58</v>
      </c>
      <c r="AC278" s="301">
        <v>0</v>
      </c>
      <c r="AD278" s="301">
        <v>0</v>
      </c>
      <c r="AE278" s="301">
        <v>0</v>
      </c>
    </row>
    <row r="279" spans="1:31" x14ac:dyDescent="0.25">
      <c r="A279" s="148">
        <v>5903</v>
      </c>
      <c r="B279" s="293" t="s">
        <v>366</v>
      </c>
      <c r="C279" s="301">
        <v>257</v>
      </c>
      <c r="D279" s="304">
        <v>72</v>
      </c>
      <c r="E279" s="305">
        <v>0.7</v>
      </c>
      <c r="F279" s="300">
        <v>406735.48</v>
      </c>
      <c r="G279" s="301">
        <v>55036.800000000003</v>
      </c>
      <c r="H279" s="301">
        <v>1179.0999999999999</v>
      </c>
      <c r="I279" s="301">
        <v>172.8</v>
      </c>
      <c r="J279" s="301"/>
      <c r="K279" s="301"/>
      <c r="L279" s="301">
        <v>-1954.47</v>
      </c>
      <c r="M279" s="301">
        <v>0</v>
      </c>
      <c r="N279" s="302">
        <f t="shared" si="8"/>
        <v>133.45854321889072</v>
      </c>
      <c r="O279" s="301">
        <v>30148.25</v>
      </c>
      <c r="P279" s="301">
        <v>1245.98</v>
      </c>
      <c r="Q279" s="301"/>
      <c r="R279" s="301">
        <v>-166.3</v>
      </c>
      <c r="S279" s="301">
        <v>27800.799999999999</v>
      </c>
      <c r="T279" s="301">
        <v>15.9</v>
      </c>
      <c r="U279" s="301">
        <v>9263.75</v>
      </c>
      <c r="V279" s="301">
        <v>37005.75</v>
      </c>
      <c r="W279" s="302">
        <f t="shared" si="9"/>
        <v>566617.29854321887</v>
      </c>
      <c r="X279" s="301">
        <v>426</v>
      </c>
      <c r="Y279" s="301">
        <v>0</v>
      </c>
      <c r="Z279" s="303">
        <v>0.14199999999999999</v>
      </c>
      <c r="AA279" s="301">
        <v>41</v>
      </c>
      <c r="AB279" s="301">
        <v>41</v>
      </c>
      <c r="AC279" s="301">
        <v>0</v>
      </c>
      <c r="AD279" s="301">
        <v>0</v>
      </c>
      <c r="AE279" s="301">
        <v>0</v>
      </c>
    </row>
    <row r="280" spans="1:31" x14ac:dyDescent="0.25">
      <c r="A280" s="148">
        <v>5904</v>
      </c>
      <c r="B280" s="293" t="s">
        <v>367</v>
      </c>
      <c r="C280" s="301">
        <v>554</v>
      </c>
      <c r="D280" s="304">
        <v>66</v>
      </c>
      <c r="E280" s="305">
        <v>1</v>
      </c>
      <c r="F280" s="300">
        <v>830394.58</v>
      </c>
      <c r="G280" s="301">
        <v>156224.71</v>
      </c>
      <c r="H280" s="301">
        <v>22935.599999999999</v>
      </c>
      <c r="I280" s="301">
        <v>392.2</v>
      </c>
      <c r="J280" s="301"/>
      <c r="K280" s="301">
        <v>5325.11</v>
      </c>
      <c r="L280" s="301">
        <v>-13818.86</v>
      </c>
      <c r="M280" s="301">
        <v>0</v>
      </c>
      <c r="N280" s="302">
        <f t="shared" si="8"/>
        <v>2302.9027328216876</v>
      </c>
      <c r="O280" s="301">
        <v>103785.9</v>
      </c>
      <c r="P280" s="301">
        <v>18476.64</v>
      </c>
      <c r="Q280" s="301">
        <v>2416.25</v>
      </c>
      <c r="R280" s="301">
        <v>-164.37</v>
      </c>
      <c r="S280" s="301">
        <v>37984.699999999997</v>
      </c>
      <c r="T280" s="301"/>
      <c r="U280" s="301">
        <v>44214.65</v>
      </c>
      <c r="V280" s="301">
        <v>55701</v>
      </c>
      <c r="W280" s="302">
        <f t="shared" si="9"/>
        <v>1266171.0127328211</v>
      </c>
      <c r="X280" s="301">
        <v>283</v>
      </c>
      <c r="Y280" s="301">
        <v>0</v>
      </c>
      <c r="Z280" s="303">
        <v>0.10199999999999999</v>
      </c>
      <c r="AA280" s="301">
        <v>62</v>
      </c>
      <c r="AB280" s="301">
        <v>21</v>
      </c>
      <c r="AC280" s="301">
        <v>0</v>
      </c>
      <c r="AD280" s="301">
        <v>0</v>
      </c>
      <c r="AE280" s="301">
        <v>1</v>
      </c>
    </row>
    <row r="281" spans="1:31" x14ac:dyDescent="0.25">
      <c r="A281" s="148">
        <v>5905</v>
      </c>
      <c r="B281" s="293" t="s">
        <v>368</v>
      </c>
      <c r="C281" s="301">
        <v>725</v>
      </c>
      <c r="D281" s="304">
        <v>70</v>
      </c>
      <c r="E281" s="305">
        <v>1</v>
      </c>
      <c r="F281" s="300">
        <v>1127114.32</v>
      </c>
      <c r="G281" s="301">
        <v>164973.23000000001</v>
      </c>
      <c r="H281" s="301">
        <v>27926.400000000001</v>
      </c>
      <c r="I281" s="301">
        <v>3055.35</v>
      </c>
      <c r="J281" s="301"/>
      <c r="K281" s="301"/>
      <c r="L281" s="301">
        <v>-18200.060000000001</v>
      </c>
      <c r="M281" s="301">
        <v>-5550</v>
      </c>
      <c r="N281" s="302">
        <f t="shared" si="8"/>
        <v>3058.494874895975</v>
      </c>
      <c r="O281" s="301">
        <v>118057.5</v>
      </c>
      <c r="P281" s="301">
        <v>45619.82</v>
      </c>
      <c r="Q281" s="301">
        <v>3646.65</v>
      </c>
      <c r="R281" s="301">
        <v>0</v>
      </c>
      <c r="S281" s="301">
        <v>12570.2</v>
      </c>
      <c r="T281" s="301">
        <v>58287.7</v>
      </c>
      <c r="U281" s="301">
        <v>21075.75</v>
      </c>
      <c r="V281" s="301">
        <v>185925.25</v>
      </c>
      <c r="W281" s="302">
        <f t="shared" si="9"/>
        <v>1747560.6048748959</v>
      </c>
      <c r="X281" s="301">
        <v>897</v>
      </c>
      <c r="Y281" s="301">
        <v>0</v>
      </c>
      <c r="Z281" s="303">
        <v>4.5999999999999999E-2</v>
      </c>
      <c r="AA281" s="301">
        <v>108</v>
      </c>
      <c r="AB281" s="301">
        <v>72</v>
      </c>
      <c r="AC281" s="301">
        <v>0</v>
      </c>
      <c r="AD281" s="301">
        <v>0</v>
      </c>
      <c r="AE281" s="301">
        <v>0</v>
      </c>
    </row>
    <row r="282" spans="1:31" x14ac:dyDescent="0.25">
      <c r="A282" s="148">
        <v>5907</v>
      </c>
      <c r="B282" s="293" t="s">
        <v>369</v>
      </c>
      <c r="C282" s="301">
        <v>322</v>
      </c>
      <c r="D282" s="304">
        <v>75</v>
      </c>
      <c r="E282" s="305">
        <v>1</v>
      </c>
      <c r="F282" s="300">
        <v>469412.39</v>
      </c>
      <c r="G282" s="301">
        <v>54559.41</v>
      </c>
      <c r="H282" s="301">
        <v>3487.55</v>
      </c>
      <c r="I282" s="301">
        <v>710.3</v>
      </c>
      <c r="J282" s="301"/>
      <c r="K282" s="301"/>
      <c r="L282" s="301">
        <v>-8183.33</v>
      </c>
      <c r="M282" s="301">
        <v>0</v>
      </c>
      <c r="N282" s="302">
        <f t="shared" si="8"/>
        <v>414.40856990267076</v>
      </c>
      <c r="O282" s="301">
        <v>54905.7</v>
      </c>
      <c r="P282" s="301">
        <v>6895.64</v>
      </c>
      <c r="Q282" s="301">
        <v>630.20000000000005</v>
      </c>
      <c r="R282" s="301">
        <v>-124.05</v>
      </c>
      <c r="S282" s="301">
        <v>11280.05</v>
      </c>
      <c r="T282" s="301"/>
      <c r="U282" s="301">
        <v>16305</v>
      </c>
      <c r="V282" s="301">
        <v>4344.3999999999996</v>
      </c>
      <c r="W282" s="302">
        <f t="shared" si="9"/>
        <v>614637.66856990277</v>
      </c>
      <c r="X282" s="301">
        <v>397</v>
      </c>
      <c r="Y282" s="301">
        <v>0</v>
      </c>
      <c r="Z282" s="303">
        <v>3.9E-2</v>
      </c>
      <c r="AA282" s="301">
        <v>35</v>
      </c>
      <c r="AB282" s="301">
        <v>35</v>
      </c>
      <c r="AC282" s="301">
        <v>0</v>
      </c>
      <c r="AD282" s="301">
        <v>0</v>
      </c>
      <c r="AE282" s="301">
        <v>0</v>
      </c>
    </row>
    <row r="283" spans="1:31" x14ac:dyDescent="0.25">
      <c r="A283" s="148">
        <v>5908</v>
      </c>
      <c r="B283" s="293" t="s">
        <v>370</v>
      </c>
      <c r="C283" s="301">
        <v>173</v>
      </c>
      <c r="D283" s="304">
        <v>75</v>
      </c>
      <c r="E283" s="305">
        <v>1</v>
      </c>
      <c r="F283" s="300">
        <v>311446.32</v>
      </c>
      <c r="G283" s="301">
        <v>60614.34</v>
      </c>
      <c r="H283" s="301">
        <v>24793.45</v>
      </c>
      <c r="I283" s="301">
        <v>-28.4</v>
      </c>
      <c r="J283" s="301"/>
      <c r="K283" s="301"/>
      <c r="L283" s="301">
        <v>-4347.3999999999996</v>
      </c>
      <c r="M283" s="301">
        <v>0</v>
      </c>
      <c r="N283" s="302">
        <f t="shared" si="8"/>
        <v>2444.7869633426958</v>
      </c>
      <c r="O283" s="301">
        <v>29714.75</v>
      </c>
      <c r="P283" s="301">
        <v>223.38</v>
      </c>
      <c r="Q283" s="301">
        <v>92.95</v>
      </c>
      <c r="R283" s="301">
        <v>-111.09</v>
      </c>
      <c r="S283" s="301">
        <v>16181.8</v>
      </c>
      <c r="T283" s="301">
        <v>2084.5</v>
      </c>
      <c r="U283" s="301">
        <v>26541.599999999999</v>
      </c>
      <c r="V283" s="301">
        <v>0</v>
      </c>
      <c r="W283" s="302">
        <f t="shared" si="9"/>
        <v>469650.98696334264</v>
      </c>
      <c r="X283" s="301">
        <v>206</v>
      </c>
      <c r="Y283" s="301">
        <v>0</v>
      </c>
      <c r="Z283" s="303">
        <v>9.5000000000000001E-2</v>
      </c>
      <c r="AA283" s="301">
        <v>29</v>
      </c>
      <c r="AB283" s="301">
        <v>29</v>
      </c>
      <c r="AC283" s="301">
        <v>0</v>
      </c>
      <c r="AD283" s="301">
        <v>0</v>
      </c>
      <c r="AE283" s="301">
        <v>0</v>
      </c>
    </row>
    <row r="284" spans="1:31" x14ac:dyDescent="0.25">
      <c r="A284" s="148">
        <v>5909</v>
      </c>
      <c r="B284" s="293" t="s">
        <v>371</v>
      </c>
      <c r="C284" s="301">
        <v>734</v>
      </c>
      <c r="D284" s="304">
        <v>67</v>
      </c>
      <c r="E284" s="305">
        <v>1</v>
      </c>
      <c r="F284" s="300">
        <v>1570398.03</v>
      </c>
      <c r="G284" s="301">
        <v>345439.55</v>
      </c>
      <c r="H284" s="301">
        <v>-2047.75</v>
      </c>
      <c r="I284" s="301">
        <v>1952</v>
      </c>
      <c r="J284" s="301"/>
      <c r="K284" s="301">
        <v>4.75</v>
      </c>
      <c r="L284" s="301">
        <v>-371.35</v>
      </c>
      <c r="M284" s="301">
        <v>0</v>
      </c>
      <c r="N284" s="302">
        <f t="shared" si="8"/>
        <v>-9.4523674186025506</v>
      </c>
      <c r="O284" s="301">
        <v>178780.6</v>
      </c>
      <c r="P284" s="301">
        <v>18425.22</v>
      </c>
      <c r="Q284" s="301">
        <v>372.5</v>
      </c>
      <c r="R284" s="301">
        <v>-2144.1999999999998</v>
      </c>
      <c r="S284" s="301">
        <v>197343</v>
      </c>
      <c r="T284" s="301">
        <v>74655</v>
      </c>
      <c r="U284" s="301">
        <v>169919.05</v>
      </c>
      <c r="V284" s="301">
        <v>6293.85</v>
      </c>
      <c r="W284" s="302">
        <f t="shared" si="9"/>
        <v>2559010.7976325811</v>
      </c>
      <c r="X284" s="301">
        <v>541</v>
      </c>
      <c r="Y284" s="301">
        <v>0</v>
      </c>
      <c r="Z284" s="303">
        <v>7.8E-2</v>
      </c>
      <c r="AA284" s="301">
        <v>88</v>
      </c>
      <c r="AB284" s="301">
        <v>50</v>
      </c>
      <c r="AC284" s="301">
        <v>90365</v>
      </c>
      <c r="AD284" s="301">
        <v>0</v>
      </c>
      <c r="AE284" s="301">
        <v>1</v>
      </c>
    </row>
    <row r="285" spans="1:31" x14ac:dyDescent="0.25">
      <c r="A285" s="148">
        <v>5910</v>
      </c>
      <c r="B285" s="293" t="s">
        <v>372</v>
      </c>
      <c r="C285" s="301">
        <v>425</v>
      </c>
      <c r="D285" s="304">
        <v>75</v>
      </c>
      <c r="E285" s="305">
        <v>1</v>
      </c>
      <c r="F285" s="300">
        <v>723485.86</v>
      </c>
      <c r="G285" s="301">
        <v>72286.789999999994</v>
      </c>
      <c r="H285" s="301">
        <v>-1328.35</v>
      </c>
      <c r="I285" s="301">
        <v>668.35</v>
      </c>
      <c r="J285" s="301"/>
      <c r="K285" s="301"/>
      <c r="L285" s="301">
        <v>-7129.16</v>
      </c>
      <c r="M285" s="301">
        <v>0</v>
      </c>
      <c r="N285" s="302">
        <f t="shared" si="8"/>
        <v>-65.154699700028019</v>
      </c>
      <c r="O285" s="301">
        <v>68459.850000000006</v>
      </c>
      <c r="P285" s="301">
        <v>4407.4799999999996</v>
      </c>
      <c r="Q285" s="301"/>
      <c r="R285" s="301">
        <v>0</v>
      </c>
      <c r="S285" s="301">
        <v>7040</v>
      </c>
      <c r="T285" s="301">
        <v>455.2</v>
      </c>
      <c r="U285" s="301">
        <v>1108.05</v>
      </c>
      <c r="V285" s="301">
        <v>4807.75</v>
      </c>
      <c r="W285" s="302">
        <f t="shared" si="9"/>
        <v>874196.66530029988</v>
      </c>
      <c r="X285" s="301">
        <v>655</v>
      </c>
      <c r="Y285" s="301">
        <v>0</v>
      </c>
      <c r="Z285" s="303">
        <v>0.16300000000000001</v>
      </c>
      <c r="AA285" s="301">
        <v>62</v>
      </c>
      <c r="AB285" s="301">
        <v>34</v>
      </c>
      <c r="AC285" s="301">
        <v>0</v>
      </c>
      <c r="AD285" s="301">
        <v>0</v>
      </c>
      <c r="AE285" s="301">
        <v>0</v>
      </c>
    </row>
    <row r="286" spans="1:31" x14ac:dyDescent="0.25">
      <c r="A286" s="148">
        <v>5911</v>
      </c>
      <c r="B286" s="293" t="s">
        <v>373</v>
      </c>
      <c r="C286" s="301">
        <v>241</v>
      </c>
      <c r="D286" s="304">
        <v>77</v>
      </c>
      <c r="E286" s="305">
        <v>1</v>
      </c>
      <c r="F286" s="300">
        <v>459974.59</v>
      </c>
      <c r="G286" s="301">
        <v>38398.129999999997</v>
      </c>
      <c r="H286" s="301">
        <v>9469.5499999999993</v>
      </c>
      <c r="I286" s="301">
        <v>909.85</v>
      </c>
      <c r="J286" s="301"/>
      <c r="K286" s="301">
        <v>45.33</v>
      </c>
      <c r="L286" s="301">
        <v>-5470.91</v>
      </c>
      <c r="M286" s="301">
        <v>-2050</v>
      </c>
      <c r="N286" s="302">
        <f t="shared" si="8"/>
        <v>1024.6465001007134</v>
      </c>
      <c r="O286" s="301">
        <v>36562.699999999997</v>
      </c>
      <c r="P286" s="301">
        <v>129.72</v>
      </c>
      <c r="Q286" s="301">
        <v>2200.0500000000002</v>
      </c>
      <c r="R286" s="301">
        <v>-160</v>
      </c>
      <c r="S286" s="301">
        <v>17277.2</v>
      </c>
      <c r="T286" s="452">
        <f>464515.4-450000</f>
        <v>14515.400000000023</v>
      </c>
      <c r="U286" s="301">
        <v>18271.900000000001</v>
      </c>
      <c r="V286" s="301">
        <v>0</v>
      </c>
      <c r="W286" s="302">
        <f t="shared" si="9"/>
        <v>591098.15650010074</v>
      </c>
      <c r="X286" s="301">
        <v>460</v>
      </c>
      <c r="Y286" s="301">
        <v>0</v>
      </c>
      <c r="Z286" s="303">
        <v>0.13100000000000001</v>
      </c>
      <c r="AA286" s="301">
        <v>30</v>
      </c>
      <c r="AB286" s="301">
        <v>23</v>
      </c>
      <c r="AC286" s="301">
        <v>0</v>
      </c>
      <c r="AD286" s="301">
        <v>0</v>
      </c>
      <c r="AE286" s="301">
        <v>0</v>
      </c>
    </row>
    <row r="287" spans="1:31" x14ac:dyDescent="0.25">
      <c r="A287" s="148">
        <v>5912</v>
      </c>
      <c r="B287" s="293" t="s">
        <v>374</v>
      </c>
      <c r="C287" s="301">
        <v>172</v>
      </c>
      <c r="D287" s="304">
        <v>78</v>
      </c>
      <c r="E287" s="305">
        <v>1</v>
      </c>
      <c r="F287" s="300">
        <v>249679.67</v>
      </c>
      <c r="G287" s="301">
        <v>13129.95</v>
      </c>
      <c r="H287" s="301">
        <v>17917.8</v>
      </c>
      <c r="I287" s="301">
        <v>514.4</v>
      </c>
      <c r="J287" s="301"/>
      <c r="K287" s="301"/>
      <c r="L287" s="301">
        <v>-3683.95</v>
      </c>
      <c r="M287" s="301">
        <v>0</v>
      </c>
      <c r="N287" s="302">
        <f t="shared" si="8"/>
        <v>1819.6128118346314</v>
      </c>
      <c r="O287" s="301">
        <v>24338.400000000001</v>
      </c>
      <c r="P287" s="301">
        <v>11603.14</v>
      </c>
      <c r="Q287" s="301"/>
      <c r="R287" s="301">
        <v>0</v>
      </c>
      <c r="S287" s="301">
        <v>10946.55</v>
      </c>
      <c r="T287" s="301"/>
      <c r="U287" s="301">
        <v>6490.7</v>
      </c>
      <c r="V287" s="301">
        <v>0</v>
      </c>
      <c r="W287" s="302">
        <f t="shared" si="9"/>
        <v>332756.27281183464</v>
      </c>
      <c r="X287" s="301">
        <v>429</v>
      </c>
      <c r="Y287" s="301">
        <v>127</v>
      </c>
      <c r="Z287" s="303">
        <v>1.7999999999999999E-2</v>
      </c>
      <c r="AA287" s="301">
        <v>26</v>
      </c>
      <c r="AB287" s="301">
        <v>26</v>
      </c>
      <c r="AC287" s="301">
        <v>0</v>
      </c>
      <c r="AD287" s="301">
        <v>0</v>
      </c>
      <c r="AE287" s="301">
        <v>0</v>
      </c>
    </row>
    <row r="288" spans="1:31" x14ac:dyDescent="0.25">
      <c r="A288" s="148">
        <v>5913</v>
      </c>
      <c r="B288" s="293" t="s">
        <v>375</v>
      </c>
      <c r="C288" s="301">
        <v>917</v>
      </c>
      <c r="D288" s="304">
        <v>73</v>
      </c>
      <c r="E288" s="305">
        <v>1</v>
      </c>
      <c r="F288" s="300">
        <v>1268925.8899999999</v>
      </c>
      <c r="G288" s="301">
        <v>148760.65</v>
      </c>
      <c r="H288" s="301">
        <v>22696.45</v>
      </c>
      <c r="I288" s="301">
        <v>472.05</v>
      </c>
      <c r="J288" s="301"/>
      <c r="K288" s="301"/>
      <c r="L288" s="301">
        <v>-9990.3700000000008</v>
      </c>
      <c r="M288" s="301">
        <v>0</v>
      </c>
      <c r="N288" s="302">
        <f t="shared" si="8"/>
        <v>2287.1767575759081</v>
      </c>
      <c r="O288" s="301">
        <v>134590.54999999999</v>
      </c>
      <c r="P288" s="301">
        <v>27591.71</v>
      </c>
      <c r="Q288" s="301">
        <v>1401.7</v>
      </c>
      <c r="R288" s="301">
        <v>-422.2</v>
      </c>
      <c r="S288" s="301">
        <v>72314</v>
      </c>
      <c r="T288" s="301">
        <v>2864.4</v>
      </c>
      <c r="U288" s="301">
        <v>82583.399999999994</v>
      </c>
      <c r="V288" s="301">
        <v>14596.95</v>
      </c>
      <c r="W288" s="302">
        <f t="shared" si="9"/>
        <v>1768672.3567575754</v>
      </c>
      <c r="X288" s="301">
        <v>893</v>
      </c>
      <c r="Y288" s="301">
        <v>0</v>
      </c>
      <c r="Z288" s="303">
        <v>0.11899999999999999</v>
      </c>
      <c r="AA288" s="301">
        <v>124</v>
      </c>
      <c r="AB288" s="301">
        <v>124</v>
      </c>
      <c r="AC288" s="301">
        <v>0</v>
      </c>
      <c r="AD288" s="301">
        <v>0</v>
      </c>
      <c r="AE288" s="301">
        <v>0</v>
      </c>
    </row>
    <row r="289" spans="1:31" x14ac:dyDescent="0.25">
      <c r="A289" s="148">
        <v>5914</v>
      </c>
      <c r="B289" s="293" t="s">
        <v>376</v>
      </c>
      <c r="C289" s="301">
        <v>381</v>
      </c>
      <c r="D289" s="304">
        <v>73.5</v>
      </c>
      <c r="E289" s="305">
        <v>1</v>
      </c>
      <c r="F289" s="300">
        <v>636854.77</v>
      </c>
      <c r="G289" s="301">
        <v>43656.57</v>
      </c>
      <c r="H289" s="301">
        <v>12758.35</v>
      </c>
      <c r="I289" s="301">
        <v>2948.9</v>
      </c>
      <c r="J289" s="301"/>
      <c r="K289" s="301">
        <v>1217.06</v>
      </c>
      <c r="L289" s="301">
        <v>-13293.4</v>
      </c>
      <c r="M289" s="301">
        <v>-9350</v>
      </c>
      <c r="N289" s="302">
        <f t="shared" si="8"/>
        <v>1550.6078134291897</v>
      </c>
      <c r="O289" s="301">
        <v>68369.850000000006</v>
      </c>
      <c r="P289" s="301">
        <v>15354.84</v>
      </c>
      <c r="Q289" s="301">
        <v>7972.35</v>
      </c>
      <c r="R289" s="301">
        <v>0</v>
      </c>
      <c r="S289" s="301">
        <v>24200</v>
      </c>
      <c r="T289" s="301"/>
      <c r="U289" s="301">
        <v>7910.5</v>
      </c>
      <c r="V289" s="301">
        <v>30054.1</v>
      </c>
      <c r="W289" s="302">
        <f t="shared" si="9"/>
        <v>830204.4978134291</v>
      </c>
      <c r="X289" s="301">
        <v>469</v>
      </c>
      <c r="Y289" s="301">
        <v>0</v>
      </c>
      <c r="Z289" s="303">
        <v>0.08</v>
      </c>
      <c r="AA289" s="301">
        <v>55</v>
      </c>
      <c r="AB289" s="301">
        <v>25</v>
      </c>
      <c r="AC289" s="301">
        <v>0</v>
      </c>
      <c r="AD289" s="301">
        <v>0</v>
      </c>
      <c r="AE289" s="301">
        <v>1</v>
      </c>
    </row>
    <row r="290" spans="1:31" x14ac:dyDescent="0.25">
      <c r="A290" s="148">
        <v>5919</v>
      </c>
      <c r="B290" s="293" t="s">
        <v>377</v>
      </c>
      <c r="C290" s="301">
        <v>725</v>
      </c>
      <c r="D290" s="304">
        <v>72</v>
      </c>
      <c r="E290" s="305">
        <v>1.2</v>
      </c>
      <c r="F290" s="300">
        <v>1159871.2</v>
      </c>
      <c r="G290" s="301">
        <v>168864.09</v>
      </c>
      <c r="H290" s="301">
        <v>16559.3</v>
      </c>
      <c r="I290" s="301">
        <v>3800.85</v>
      </c>
      <c r="J290" s="301"/>
      <c r="K290" s="301"/>
      <c r="L290" s="301">
        <v>-11314.42</v>
      </c>
      <c r="M290" s="301">
        <v>-1400</v>
      </c>
      <c r="N290" s="302">
        <f t="shared" si="8"/>
        <v>2009.9385743901903</v>
      </c>
      <c r="O290" s="301">
        <v>168167</v>
      </c>
      <c r="P290" s="301">
        <v>46400.98</v>
      </c>
      <c r="Q290" s="301">
        <v>12392.15</v>
      </c>
      <c r="R290" s="301">
        <v>0</v>
      </c>
      <c r="S290" s="301">
        <v>78508</v>
      </c>
      <c r="T290" s="301"/>
      <c r="U290" s="301">
        <v>68929</v>
      </c>
      <c r="V290" s="301">
        <v>46399.1</v>
      </c>
      <c r="W290" s="302">
        <f t="shared" si="9"/>
        <v>1759187.1885743905</v>
      </c>
      <c r="X290" s="301">
        <v>648</v>
      </c>
      <c r="Y290" s="301">
        <v>0</v>
      </c>
      <c r="Z290" s="303">
        <v>2.5000000000000001E-2</v>
      </c>
      <c r="AA290" s="301">
        <v>72</v>
      </c>
      <c r="AB290" s="301">
        <v>72</v>
      </c>
      <c r="AC290" s="301">
        <v>0</v>
      </c>
      <c r="AD290" s="301">
        <v>0</v>
      </c>
      <c r="AE290" s="301">
        <v>1</v>
      </c>
    </row>
    <row r="291" spans="1:31" x14ac:dyDescent="0.25">
      <c r="A291" s="148">
        <v>5921</v>
      </c>
      <c r="B291" s="293" t="s">
        <v>378</v>
      </c>
      <c r="C291" s="301">
        <v>269</v>
      </c>
      <c r="D291" s="304">
        <v>81</v>
      </c>
      <c r="E291" s="305">
        <v>1</v>
      </c>
      <c r="F291" s="453">
        <f>516426.34-120000</f>
        <v>396426.34</v>
      </c>
      <c r="G291" s="301">
        <v>76018.75</v>
      </c>
      <c r="H291" s="301">
        <v>40291.65</v>
      </c>
      <c r="I291" s="301">
        <v>1513.65</v>
      </c>
      <c r="J291" s="301"/>
      <c r="K291" s="301"/>
      <c r="L291" s="301">
        <v>-9076.84</v>
      </c>
      <c r="M291" s="301">
        <v>0</v>
      </c>
      <c r="N291" s="302">
        <f t="shared" si="8"/>
        <v>4126.9875263175481</v>
      </c>
      <c r="O291" s="301">
        <v>42721.55</v>
      </c>
      <c r="P291" s="301">
        <v>8943.15</v>
      </c>
      <c r="Q291" s="301"/>
      <c r="R291" s="301">
        <v>0.2</v>
      </c>
      <c r="S291" s="301">
        <v>29410.85</v>
      </c>
      <c r="T291" s="301"/>
      <c r="U291" s="301">
        <v>38769.9</v>
      </c>
      <c r="V291" s="301">
        <v>9549.0499999999993</v>
      </c>
      <c r="W291" s="302">
        <f t="shared" si="9"/>
        <v>638695.23752631759</v>
      </c>
      <c r="X291" s="301">
        <v>552</v>
      </c>
      <c r="Y291" s="301">
        <v>0</v>
      </c>
      <c r="Z291" s="303">
        <v>0.13900000000000001</v>
      </c>
      <c r="AA291" s="301">
        <v>43</v>
      </c>
      <c r="AB291" s="301">
        <v>43</v>
      </c>
      <c r="AC291" s="301">
        <v>0</v>
      </c>
      <c r="AD291" s="301">
        <v>0</v>
      </c>
      <c r="AE291" s="301">
        <v>0</v>
      </c>
    </row>
    <row r="292" spans="1:31" x14ac:dyDescent="0.25">
      <c r="A292" s="148">
        <v>5922</v>
      </c>
      <c r="B292" s="293" t="s">
        <v>379</v>
      </c>
      <c r="C292" s="301">
        <v>783</v>
      </c>
      <c r="D292" s="304">
        <v>64.5</v>
      </c>
      <c r="E292" s="305">
        <v>0.8</v>
      </c>
      <c r="F292" s="300">
        <v>1314547.23</v>
      </c>
      <c r="G292" s="301">
        <v>218422.38</v>
      </c>
      <c r="H292" s="301">
        <v>498364.95</v>
      </c>
      <c r="I292" s="301">
        <v>29651.5</v>
      </c>
      <c r="J292" s="301"/>
      <c r="K292" s="301">
        <v>7476.43</v>
      </c>
      <c r="L292" s="301">
        <v>-25397.3</v>
      </c>
      <c r="M292" s="301">
        <v>0</v>
      </c>
      <c r="N292" s="302">
        <f t="shared" si="8"/>
        <v>52125.383691552823</v>
      </c>
      <c r="O292" s="301">
        <v>295349.09999999998</v>
      </c>
      <c r="P292" s="301">
        <v>101007.41</v>
      </c>
      <c r="Q292" s="301">
        <v>66696.75</v>
      </c>
      <c r="R292" s="301">
        <v>-588.54999999999995</v>
      </c>
      <c r="S292" s="301">
        <v>253982.8</v>
      </c>
      <c r="T292" s="301"/>
      <c r="U292" s="301">
        <v>70255.899999999994</v>
      </c>
      <c r="V292" s="301">
        <v>441178.7</v>
      </c>
      <c r="W292" s="302">
        <f t="shared" si="9"/>
        <v>3323072.6836915528</v>
      </c>
      <c r="X292" s="301">
        <v>348</v>
      </c>
      <c r="Y292" s="301">
        <v>0</v>
      </c>
      <c r="Z292" s="303">
        <v>0.06</v>
      </c>
      <c r="AA292" s="301">
        <v>86</v>
      </c>
      <c r="AB292" s="301">
        <v>56</v>
      </c>
      <c r="AC292" s="301">
        <v>255435</v>
      </c>
      <c r="AD292" s="301">
        <v>0</v>
      </c>
      <c r="AE292" s="301">
        <v>0</v>
      </c>
    </row>
    <row r="293" spans="1:31" x14ac:dyDescent="0.25">
      <c r="A293" s="148">
        <v>5923</v>
      </c>
      <c r="B293" s="293" t="s">
        <v>380</v>
      </c>
      <c r="C293" s="301">
        <v>202</v>
      </c>
      <c r="D293" s="304">
        <v>79</v>
      </c>
      <c r="E293" s="305">
        <v>1</v>
      </c>
      <c r="F293" s="300">
        <v>353078.47</v>
      </c>
      <c r="G293" s="301">
        <v>54741.32</v>
      </c>
      <c r="H293" s="301">
        <v>1002.4</v>
      </c>
      <c r="I293" s="301">
        <v>-238.2</v>
      </c>
      <c r="J293" s="301"/>
      <c r="K293" s="301"/>
      <c r="L293" s="301">
        <v>-2856.13</v>
      </c>
      <c r="M293" s="301">
        <v>0</v>
      </c>
      <c r="N293" s="302">
        <f t="shared" si="8"/>
        <v>75.441244713274884</v>
      </c>
      <c r="O293" s="301">
        <v>27501.7</v>
      </c>
      <c r="P293" s="301">
        <v>15704.68</v>
      </c>
      <c r="Q293" s="301"/>
      <c r="R293" s="301">
        <v>0</v>
      </c>
      <c r="S293" s="301"/>
      <c r="T293" s="301"/>
      <c r="U293" s="301"/>
      <c r="V293" s="301">
        <v>27717.1</v>
      </c>
      <c r="W293" s="302">
        <f t="shared" si="9"/>
        <v>476726.78124471323</v>
      </c>
      <c r="X293" s="301">
        <v>358</v>
      </c>
      <c r="Y293" s="301">
        <v>0</v>
      </c>
      <c r="Z293" s="303">
        <v>0.107</v>
      </c>
      <c r="AA293" s="301">
        <v>28</v>
      </c>
      <c r="AB293" s="301">
        <v>19</v>
      </c>
      <c r="AC293" s="301">
        <v>0</v>
      </c>
      <c r="AD293" s="301">
        <v>0</v>
      </c>
      <c r="AE293" s="301">
        <v>0</v>
      </c>
    </row>
    <row r="294" spans="1:31" x14ac:dyDescent="0.25">
      <c r="A294" s="148">
        <v>5924</v>
      </c>
      <c r="B294" s="293" t="s">
        <v>381</v>
      </c>
      <c r="C294" s="301">
        <v>424</v>
      </c>
      <c r="D294" s="304">
        <v>74</v>
      </c>
      <c r="E294" s="305">
        <v>1</v>
      </c>
      <c r="F294" s="300">
        <v>815586.51</v>
      </c>
      <c r="G294" s="301">
        <v>90317.22</v>
      </c>
      <c r="H294" s="301">
        <v>-4753.6499999999996</v>
      </c>
      <c r="I294" s="301">
        <v>768.45</v>
      </c>
      <c r="J294" s="301"/>
      <c r="K294" s="301">
        <v>963.72</v>
      </c>
      <c r="L294" s="301">
        <v>-1321.63</v>
      </c>
      <c r="M294" s="301">
        <v>0</v>
      </c>
      <c r="N294" s="302">
        <f t="shared" si="8"/>
        <v>-393.4159230978056</v>
      </c>
      <c r="O294" s="301">
        <v>65587.45</v>
      </c>
      <c r="P294" s="301">
        <v>15030.38</v>
      </c>
      <c r="Q294" s="301"/>
      <c r="R294" s="301">
        <v>-155.5</v>
      </c>
      <c r="S294" s="301">
        <v>27873.9</v>
      </c>
      <c r="T294" s="301"/>
      <c r="U294" s="301">
        <v>55911.85</v>
      </c>
      <c r="V294" s="301">
        <v>40700.550000000003</v>
      </c>
      <c r="W294" s="302">
        <f t="shared" si="9"/>
        <v>1106115.8340769021</v>
      </c>
      <c r="X294" s="301">
        <v>405</v>
      </c>
      <c r="Y294" s="301">
        <v>0</v>
      </c>
      <c r="Z294" s="303">
        <v>1.2999999999999999E-2</v>
      </c>
      <c r="AA294" s="301">
        <v>48</v>
      </c>
      <c r="AB294" s="301">
        <v>37</v>
      </c>
      <c r="AC294" s="301">
        <v>0</v>
      </c>
      <c r="AD294" s="301">
        <v>0</v>
      </c>
      <c r="AE294" s="301">
        <v>0</v>
      </c>
    </row>
    <row r="295" spans="1:31" x14ac:dyDescent="0.25">
      <c r="A295" s="148">
        <v>5925</v>
      </c>
      <c r="B295" s="293" t="s">
        <v>382</v>
      </c>
      <c r="C295" s="301">
        <v>216</v>
      </c>
      <c r="D295" s="304">
        <v>79</v>
      </c>
      <c r="E295" s="305">
        <v>1</v>
      </c>
      <c r="F295" s="300">
        <v>316509.82</v>
      </c>
      <c r="G295" s="301">
        <v>60681.95</v>
      </c>
      <c r="H295" s="301">
        <v>-13087.55</v>
      </c>
      <c r="I295" s="301">
        <v>283.05</v>
      </c>
      <c r="J295" s="301"/>
      <c r="K295" s="301"/>
      <c r="L295" s="301">
        <v>-9270.2199999999993</v>
      </c>
      <c r="M295" s="301">
        <v>0</v>
      </c>
      <c r="N295" s="302">
        <f t="shared" si="8"/>
        <v>-1264.0505338015287</v>
      </c>
      <c r="O295" s="301">
        <v>36364.050000000003</v>
      </c>
      <c r="P295" s="301">
        <v>8313.44</v>
      </c>
      <c r="Q295" s="301"/>
      <c r="R295" s="301">
        <v>-396.7</v>
      </c>
      <c r="S295" s="301">
        <v>4400</v>
      </c>
      <c r="T295" s="301">
        <v>11457.8</v>
      </c>
      <c r="U295" s="301">
        <v>20020.95</v>
      </c>
      <c r="V295" s="301">
        <v>2336.9</v>
      </c>
      <c r="W295" s="302">
        <f t="shared" si="9"/>
        <v>436349.4394661985</v>
      </c>
      <c r="X295" s="301">
        <v>420</v>
      </c>
      <c r="Y295" s="301">
        <v>0</v>
      </c>
      <c r="Z295" s="303">
        <v>6.3E-2</v>
      </c>
      <c r="AA295" s="301">
        <v>18</v>
      </c>
      <c r="AB295" s="301">
        <v>18</v>
      </c>
      <c r="AC295" s="301">
        <v>0</v>
      </c>
      <c r="AD295" s="301">
        <v>0</v>
      </c>
      <c r="AE295" s="301">
        <v>0</v>
      </c>
    </row>
    <row r="296" spans="1:31" x14ac:dyDescent="0.25">
      <c r="A296" s="148">
        <v>5926</v>
      </c>
      <c r="B296" s="293" t="s">
        <v>383</v>
      </c>
      <c r="C296" s="301">
        <v>877</v>
      </c>
      <c r="D296" s="304">
        <v>71</v>
      </c>
      <c r="E296" s="305">
        <v>1</v>
      </c>
      <c r="F296" s="300">
        <v>1454847.12</v>
      </c>
      <c r="G296" s="301">
        <v>237340.39</v>
      </c>
      <c r="H296" s="301">
        <v>36467.65</v>
      </c>
      <c r="I296" s="301">
        <v>2970.8</v>
      </c>
      <c r="J296" s="301"/>
      <c r="K296" s="301"/>
      <c r="L296" s="301">
        <v>-29736.79</v>
      </c>
      <c r="M296" s="301">
        <v>0</v>
      </c>
      <c r="N296" s="302">
        <f t="shared" si="8"/>
        <v>3893.3338884614709</v>
      </c>
      <c r="O296" s="301">
        <v>153636.85</v>
      </c>
      <c r="P296" s="301">
        <v>32929.17</v>
      </c>
      <c r="Q296" s="301"/>
      <c r="R296" s="301">
        <v>-389.6</v>
      </c>
      <c r="S296" s="301">
        <v>145017.85</v>
      </c>
      <c r="T296" s="301">
        <v>18893.900000000001</v>
      </c>
      <c r="U296" s="301">
        <v>112535.85</v>
      </c>
      <c r="V296" s="301">
        <v>28674.3</v>
      </c>
      <c r="W296" s="302">
        <f t="shared" si="9"/>
        <v>2197080.8238884616</v>
      </c>
      <c r="X296" s="301">
        <v>559</v>
      </c>
      <c r="Y296" s="301">
        <v>0</v>
      </c>
      <c r="Z296" s="303">
        <v>3.6999999999999998E-2</v>
      </c>
      <c r="AA296" s="301">
        <v>130</v>
      </c>
      <c r="AB296" s="301">
        <v>87</v>
      </c>
      <c r="AC296" s="301">
        <v>0</v>
      </c>
      <c r="AD296" s="301">
        <v>0</v>
      </c>
      <c r="AE296" s="301">
        <v>1</v>
      </c>
    </row>
    <row r="297" spans="1:31" x14ac:dyDescent="0.25">
      <c r="A297" s="148">
        <v>5928</v>
      </c>
      <c r="B297" s="293" t="s">
        <v>384</v>
      </c>
      <c r="C297" s="301">
        <v>195</v>
      </c>
      <c r="D297" s="304">
        <v>73</v>
      </c>
      <c r="E297" s="305">
        <v>1</v>
      </c>
      <c r="F297" s="300">
        <v>346898.54</v>
      </c>
      <c r="G297" s="301">
        <v>42002.28</v>
      </c>
      <c r="H297" s="301">
        <v>15410.6</v>
      </c>
      <c r="I297" s="301">
        <v>111.45</v>
      </c>
      <c r="J297" s="301"/>
      <c r="K297" s="301"/>
      <c r="L297" s="301">
        <v>-1418.27</v>
      </c>
      <c r="M297" s="301">
        <v>0</v>
      </c>
      <c r="N297" s="302">
        <f t="shared" si="8"/>
        <v>1532.3250098163942</v>
      </c>
      <c r="O297" s="301">
        <v>28947</v>
      </c>
      <c r="P297" s="301">
        <v>4328.16</v>
      </c>
      <c r="Q297" s="301"/>
      <c r="R297" s="301">
        <v>0</v>
      </c>
      <c r="S297" s="301">
        <v>25240.2</v>
      </c>
      <c r="T297" s="301"/>
      <c r="U297" s="301"/>
      <c r="V297" s="301">
        <v>8628.0499999999993</v>
      </c>
      <c r="W297" s="302">
        <f t="shared" si="9"/>
        <v>471680.33500981628</v>
      </c>
      <c r="X297" s="301">
        <v>322</v>
      </c>
      <c r="Y297" s="301">
        <v>0</v>
      </c>
      <c r="Z297" s="303">
        <v>7.9000000000000001E-2</v>
      </c>
      <c r="AA297" s="301">
        <v>35</v>
      </c>
      <c r="AB297" s="301">
        <v>35</v>
      </c>
      <c r="AC297" s="301">
        <v>0</v>
      </c>
      <c r="AD297" s="301">
        <v>0</v>
      </c>
      <c r="AE297" s="301">
        <v>0</v>
      </c>
    </row>
    <row r="298" spans="1:31" x14ac:dyDescent="0.25">
      <c r="A298" s="148">
        <v>5929</v>
      </c>
      <c r="B298" s="293" t="s">
        <v>385</v>
      </c>
      <c r="C298" s="301">
        <v>670</v>
      </c>
      <c r="D298" s="304">
        <v>70</v>
      </c>
      <c r="E298" s="305">
        <v>0.8</v>
      </c>
      <c r="F298" s="300">
        <v>1264267.93</v>
      </c>
      <c r="G298" s="301">
        <v>131534.64000000001</v>
      </c>
      <c r="H298" s="301">
        <v>2768.95</v>
      </c>
      <c r="I298" s="301">
        <v>2535.4499999999998</v>
      </c>
      <c r="J298" s="301">
        <v>70371</v>
      </c>
      <c r="K298" s="301">
        <v>175.56</v>
      </c>
      <c r="L298" s="301">
        <v>-9611.02</v>
      </c>
      <c r="M298" s="301">
        <v>-166.66</v>
      </c>
      <c r="N298" s="302">
        <f t="shared" si="8"/>
        <v>523.64634710428584</v>
      </c>
      <c r="O298" s="301">
        <v>97221.15</v>
      </c>
      <c r="P298" s="301">
        <v>23013.62</v>
      </c>
      <c r="Q298" s="301"/>
      <c r="R298" s="301">
        <v>0</v>
      </c>
      <c r="S298" s="301">
        <v>71871.45</v>
      </c>
      <c r="T298" s="301"/>
      <c r="U298" s="301">
        <v>78157.55</v>
      </c>
      <c r="V298" s="301">
        <v>24185.65</v>
      </c>
      <c r="W298" s="302">
        <f t="shared" si="9"/>
        <v>1756848.9163471041</v>
      </c>
      <c r="X298" s="301">
        <v>665</v>
      </c>
      <c r="Y298" s="301">
        <v>0</v>
      </c>
      <c r="Z298" s="303">
        <v>3.3000000000000002E-2</v>
      </c>
      <c r="AA298" s="301">
        <v>103</v>
      </c>
      <c r="AB298" s="301">
        <v>103</v>
      </c>
      <c r="AC298" s="301">
        <v>0</v>
      </c>
      <c r="AD298" s="301">
        <v>0</v>
      </c>
      <c r="AE298" s="301">
        <v>1</v>
      </c>
    </row>
    <row r="299" spans="1:31" x14ac:dyDescent="0.25">
      <c r="A299" s="148">
        <v>5930</v>
      </c>
      <c r="B299" s="293" t="s">
        <v>386</v>
      </c>
      <c r="C299" s="301">
        <v>237</v>
      </c>
      <c r="D299" s="304">
        <v>72</v>
      </c>
      <c r="E299" s="305">
        <v>1</v>
      </c>
      <c r="F299" s="300">
        <v>282012.06</v>
      </c>
      <c r="G299" s="301">
        <v>40874.06</v>
      </c>
      <c r="H299" s="301">
        <v>-515.25</v>
      </c>
      <c r="I299" s="301">
        <v>264.95</v>
      </c>
      <c r="J299" s="301"/>
      <c r="K299" s="301"/>
      <c r="L299" s="301">
        <v>-3787.72</v>
      </c>
      <c r="M299" s="301">
        <v>0</v>
      </c>
      <c r="N299" s="302">
        <f t="shared" si="8"/>
        <v>-24.709426265025783</v>
      </c>
      <c r="O299" s="301">
        <v>32768.949999999997</v>
      </c>
      <c r="P299" s="301">
        <v>15181.11</v>
      </c>
      <c r="Q299" s="301">
        <v>944.1</v>
      </c>
      <c r="R299" s="301">
        <v>0</v>
      </c>
      <c r="S299" s="301">
        <v>26417.65</v>
      </c>
      <c r="T299" s="301"/>
      <c r="U299" s="301">
        <v>5748.85</v>
      </c>
      <c r="V299" s="301">
        <v>0</v>
      </c>
      <c r="W299" s="302">
        <f t="shared" si="9"/>
        <v>399884.05057373497</v>
      </c>
      <c r="X299" s="301">
        <v>398</v>
      </c>
      <c r="Y299" s="301">
        <v>0</v>
      </c>
      <c r="Z299" s="303">
        <v>1.9E-2</v>
      </c>
      <c r="AA299" s="301">
        <v>32</v>
      </c>
      <c r="AB299" s="301">
        <v>31</v>
      </c>
      <c r="AC299" s="301">
        <v>0</v>
      </c>
      <c r="AD299" s="301">
        <v>0</v>
      </c>
      <c r="AE299" s="301">
        <v>1</v>
      </c>
    </row>
    <row r="300" spans="1:31" x14ac:dyDescent="0.25">
      <c r="A300" s="148">
        <v>5931</v>
      </c>
      <c r="B300" s="293" t="s">
        <v>387</v>
      </c>
      <c r="C300" s="301">
        <v>513</v>
      </c>
      <c r="D300" s="304">
        <v>73</v>
      </c>
      <c r="E300" s="305">
        <v>1</v>
      </c>
      <c r="F300" s="300">
        <v>942569.94</v>
      </c>
      <c r="G300" s="301">
        <v>83955.87</v>
      </c>
      <c r="H300" s="301">
        <v>56763.8</v>
      </c>
      <c r="I300" s="301">
        <v>866.5</v>
      </c>
      <c r="J300" s="301"/>
      <c r="K300" s="301"/>
      <c r="L300" s="301">
        <v>-2128.6799999999998</v>
      </c>
      <c r="M300" s="301">
        <v>0</v>
      </c>
      <c r="N300" s="302">
        <f t="shared" si="8"/>
        <v>5689.2195304886754</v>
      </c>
      <c r="O300" s="301">
        <v>92744.75</v>
      </c>
      <c r="P300" s="301">
        <v>22066.43</v>
      </c>
      <c r="Q300" s="301">
        <v>1328.4</v>
      </c>
      <c r="R300" s="301">
        <v>-22.4</v>
      </c>
      <c r="S300" s="301">
        <v>21553.95</v>
      </c>
      <c r="T300" s="301"/>
      <c r="U300" s="301">
        <v>23257.3</v>
      </c>
      <c r="V300" s="301">
        <v>25861.200000000001</v>
      </c>
      <c r="W300" s="302">
        <f t="shared" si="9"/>
        <v>1274506.2795304884</v>
      </c>
      <c r="X300" s="301">
        <v>204</v>
      </c>
      <c r="Y300" s="301">
        <v>0</v>
      </c>
      <c r="Z300" s="303">
        <v>1.7999999999999999E-2</v>
      </c>
      <c r="AA300" s="301">
        <v>62</v>
      </c>
      <c r="AB300" s="301">
        <v>14</v>
      </c>
      <c r="AC300" s="301">
        <v>0</v>
      </c>
      <c r="AD300" s="301">
        <v>0</v>
      </c>
      <c r="AE300" s="301">
        <v>1</v>
      </c>
    </row>
    <row r="301" spans="1:31" x14ac:dyDescent="0.25">
      <c r="A301" s="148">
        <v>5932</v>
      </c>
      <c r="B301" s="293" t="s">
        <v>102</v>
      </c>
      <c r="C301" s="301">
        <v>233</v>
      </c>
      <c r="D301" s="304">
        <v>75</v>
      </c>
      <c r="E301" s="305">
        <v>1</v>
      </c>
      <c r="F301" s="300">
        <v>539371.52000000002</v>
      </c>
      <c r="G301" s="301">
        <v>74082.78</v>
      </c>
      <c r="H301" s="301">
        <v>1792.55</v>
      </c>
      <c r="I301" s="301">
        <v>470.4</v>
      </c>
      <c r="J301" s="301">
        <v>44745.65</v>
      </c>
      <c r="K301" s="301">
        <v>4403.49</v>
      </c>
      <c r="L301" s="301">
        <v>-10879.26</v>
      </c>
      <c r="M301" s="301">
        <v>0</v>
      </c>
      <c r="N301" s="302">
        <f t="shared" si="8"/>
        <v>223.39670861542186</v>
      </c>
      <c r="O301" s="301">
        <v>35358.800000000003</v>
      </c>
      <c r="P301" s="301">
        <v>6552.82</v>
      </c>
      <c r="Q301" s="301">
        <v>819.5</v>
      </c>
      <c r="R301" s="301">
        <v>-111.45</v>
      </c>
      <c r="S301" s="301"/>
      <c r="T301" s="301"/>
      <c r="U301" s="301"/>
      <c r="V301" s="301">
        <v>0</v>
      </c>
      <c r="W301" s="302">
        <f t="shared" si="9"/>
        <v>696830.19670861564</v>
      </c>
      <c r="X301" s="301">
        <v>339</v>
      </c>
      <c r="Y301" s="301">
        <v>0</v>
      </c>
      <c r="Z301" s="303">
        <v>1.7000000000000001E-2</v>
      </c>
      <c r="AA301" s="301">
        <v>26</v>
      </c>
      <c r="AB301" s="301">
        <v>26</v>
      </c>
      <c r="AC301" s="301">
        <v>0</v>
      </c>
      <c r="AD301" s="301">
        <v>0</v>
      </c>
      <c r="AE301" s="301">
        <v>0</v>
      </c>
    </row>
    <row r="302" spans="1:31" x14ac:dyDescent="0.25">
      <c r="A302" s="148">
        <v>5933</v>
      </c>
      <c r="B302" s="293" t="s">
        <v>388</v>
      </c>
      <c r="C302" s="301">
        <v>706</v>
      </c>
      <c r="D302" s="304">
        <v>70.5</v>
      </c>
      <c r="E302" s="305">
        <v>1</v>
      </c>
      <c r="F302" s="300">
        <v>1279744.8700000001</v>
      </c>
      <c r="G302" s="301">
        <v>195526.69</v>
      </c>
      <c r="H302" s="301">
        <v>38742.050000000003</v>
      </c>
      <c r="I302" s="301">
        <v>2625.45</v>
      </c>
      <c r="J302" s="301"/>
      <c r="K302" s="301">
        <v>6281.26</v>
      </c>
      <c r="L302" s="301">
        <v>-27548.2</v>
      </c>
      <c r="M302" s="301">
        <v>0</v>
      </c>
      <c r="N302" s="302">
        <f t="shared" si="8"/>
        <v>4083.7682421831964</v>
      </c>
      <c r="O302" s="301">
        <v>129745.05</v>
      </c>
      <c r="P302" s="301">
        <v>9532.19</v>
      </c>
      <c r="Q302" s="301">
        <v>3256.55</v>
      </c>
      <c r="R302" s="301">
        <v>0</v>
      </c>
      <c r="S302" s="301">
        <v>29323.45</v>
      </c>
      <c r="T302" s="301">
        <v>8741.6</v>
      </c>
      <c r="U302" s="301">
        <v>42438.95</v>
      </c>
      <c r="V302" s="301">
        <v>13060.2</v>
      </c>
      <c r="W302" s="302">
        <f t="shared" si="9"/>
        <v>1735553.8782421832</v>
      </c>
      <c r="X302" s="301">
        <v>225</v>
      </c>
      <c r="Y302" s="301">
        <v>0</v>
      </c>
      <c r="Z302" s="303">
        <v>6.8000000000000005E-2</v>
      </c>
      <c r="AA302" s="301">
        <v>81</v>
      </c>
      <c r="AB302" s="301">
        <v>35</v>
      </c>
      <c r="AC302" s="301">
        <v>0</v>
      </c>
      <c r="AD302" s="301">
        <v>0</v>
      </c>
      <c r="AE302" s="301">
        <v>0</v>
      </c>
    </row>
    <row r="303" spans="1:31" x14ac:dyDescent="0.25">
      <c r="A303" s="148">
        <v>5934</v>
      </c>
      <c r="B303" s="293" t="s">
        <v>389</v>
      </c>
      <c r="C303" s="301">
        <v>236</v>
      </c>
      <c r="D303" s="304">
        <v>77</v>
      </c>
      <c r="E303" s="305">
        <v>1</v>
      </c>
      <c r="F303" s="300">
        <v>513555.23</v>
      </c>
      <c r="G303" s="301">
        <v>115606.84</v>
      </c>
      <c r="H303" s="301">
        <v>1325.25</v>
      </c>
      <c r="I303" s="301">
        <v>134.30000000000001</v>
      </c>
      <c r="J303" s="301"/>
      <c r="K303" s="301"/>
      <c r="L303" s="301">
        <v>-3138.66</v>
      </c>
      <c r="M303" s="301">
        <v>0</v>
      </c>
      <c r="N303" s="302">
        <f t="shared" si="8"/>
        <v>144.08566961693319</v>
      </c>
      <c r="O303" s="301">
        <v>31308.7</v>
      </c>
      <c r="P303" s="301">
        <v>-714.03</v>
      </c>
      <c r="Q303" s="301">
        <v>1741</v>
      </c>
      <c r="R303" s="301">
        <v>0</v>
      </c>
      <c r="S303" s="301">
        <v>41305</v>
      </c>
      <c r="T303" s="301">
        <v>6358.8</v>
      </c>
      <c r="U303" s="301">
        <v>47745.8</v>
      </c>
      <c r="V303" s="301">
        <v>3526.6</v>
      </c>
      <c r="W303" s="302">
        <f t="shared" si="9"/>
        <v>758898.91566961689</v>
      </c>
      <c r="X303" s="301">
        <v>286</v>
      </c>
      <c r="Y303" s="301">
        <v>0</v>
      </c>
      <c r="Z303" s="303">
        <v>0.08</v>
      </c>
      <c r="AA303" s="301">
        <v>19</v>
      </c>
      <c r="AB303" s="301">
        <v>19</v>
      </c>
      <c r="AC303" s="301">
        <v>0</v>
      </c>
      <c r="AD303" s="301">
        <v>0</v>
      </c>
      <c r="AE303" s="301">
        <v>0</v>
      </c>
    </row>
    <row r="304" spans="1:31" x14ac:dyDescent="0.25">
      <c r="A304" s="148">
        <v>5935</v>
      </c>
      <c r="B304" s="293" t="s">
        <v>390</v>
      </c>
      <c r="C304" s="301">
        <v>108</v>
      </c>
      <c r="D304" s="304">
        <v>68</v>
      </c>
      <c r="E304" s="305">
        <v>1</v>
      </c>
      <c r="F304" s="453">
        <f>602234.83-330000</f>
        <v>272234.82999999996</v>
      </c>
      <c r="G304" s="301">
        <v>164947.85999999999</v>
      </c>
      <c r="H304" s="301">
        <v>3399.35</v>
      </c>
      <c r="I304" s="301">
        <v>-257.3</v>
      </c>
      <c r="J304" s="301"/>
      <c r="K304" s="301"/>
      <c r="L304" s="301">
        <v>-114859.24</v>
      </c>
      <c r="M304" s="301">
        <v>0</v>
      </c>
      <c r="N304" s="302">
        <f t="shared" si="8"/>
        <v>310.18079423101977</v>
      </c>
      <c r="O304" s="301">
        <v>25725.9</v>
      </c>
      <c r="P304" s="301">
        <v>1642.79</v>
      </c>
      <c r="Q304" s="301"/>
      <c r="R304" s="301">
        <v>-1054.9000000000001</v>
      </c>
      <c r="S304" s="301">
        <v>29920</v>
      </c>
      <c r="T304" s="301"/>
      <c r="U304" s="301">
        <v>22143.3</v>
      </c>
      <c r="V304" s="301">
        <v>0</v>
      </c>
      <c r="W304" s="302">
        <f t="shared" si="9"/>
        <v>404152.77079423092</v>
      </c>
      <c r="X304" s="301">
        <v>88</v>
      </c>
      <c r="Y304" s="301">
        <v>0</v>
      </c>
      <c r="Z304" s="303">
        <v>1.9E-2</v>
      </c>
      <c r="AA304" s="301">
        <v>14</v>
      </c>
      <c r="AB304" s="301">
        <v>14</v>
      </c>
      <c r="AC304" s="301">
        <v>0</v>
      </c>
      <c r="AD304" s="301">
        <v>0</v>
      </c>
      <c r="AE304" s="301">
        <v>0</v>
      </c>
    </row>
    <row r="305" spans="1:31" x14ac:dyDescent="0.25">
      <c r="A305" s="148">
        <v>5937</v>
      </c>
      <c r="B305" s="293" t="s">
        <v>391</v>
      </c>
      <c r="C305" s="301">
        <v>147</v>
      </c>
      <c r="D305" s="304">
        <v>70</v>
      </c>
      <c r="E305" s="305">
        <v>0.7</v>
      </c>
      <c r="F305" s="300">
        <v>242785.63</v>
      </c>
      <c r="G305" s="301">
        <v>34482.74</v>
      </c>
      <c r="H305" s="301">
        <v>2466.5500000000002</v>
      </c>
      <c r="I305" s="301">
        <v>63.45</v>
      </c>
      <c r="J305" s="301"/>
      <c r="K305" s="301">
        <v>2041.03</v>
      </c>
      <c r="L305" s="301">
        <v>-1300.98</v>
      </c>
      <c r="M305" s="301">
        <v>0</v>
      </c>
      <c r="N305" s="302">
        <f t="shared" si="8"/>
        <v>249.75968218344079</v>
      </c>
      <c r="O305" s="301">
        <v>14005.88</v>
      </c>
      <c r="P305" s="301">
        <v>9018.6</v>
      </c>
      <c r="Q305" s="301"/>
      <c r="R305" s="301">
        <v>-79.5</v>
      </c>
      <c r="S305" s="301"/>
      <c r="T305" s="301"/>
      <c r="U305" s="301"/>
      <c r="V305" s="301">
        <v>2747.5</v>
      </c>
      <c r="W305" s="302">
        <f t="shared" si="9"/>
        <v>306480.65968218347</v>
      </c>
      <c r="X305" s="301">
        <v>303</v>
      </c>
      <c r="Y305" s="301">
        <v>0</v>
      </c>
      <c r="Z305" s="303">
        <v>0.52900000000000003</v>
      </c>
      <c r="AA305" s="301">
        <v>15</v>
      </c>
      <c r="AB305" s="301">
        <v>15</v>
      </c>
      <c r="AC305" s="301">
        <v>0</v>
      </c>
      <c r="AD305" s="301">
        <v>0</v>
      </c>
      <c r="AE305" s="301">
        <v>0</v>
      </c>
    </row>
    <row r="306" spans="1:31" x14ac:dyDescent="0.25">
      <c r="A306" s="148">
        <v>5938</v>
      </c>
      <c r="B306" s="293" t="s">
        <v>103</v>
      </c>
      <c r="C306" s="301">
        <v>30332</v>
      </c>
      <c r="D306" s="304">
        <v>75</v>
      </c>
      <c r="E306" s="305">
        <v>1.5</v>
      </c>
      <c r="F306" s="300">
        <v>42449217.979999997</v>
      </c>
      <c r="G306" s="301">
        <v>4890791.0599999996</v>
      </c>
      <c r="H306" s="301">
        <v>4364720.2</v>
      </c>
      <c r="I306" s="301">
        <v>736066.95</v>
      </c>
      <c r="J306" s="301"/>
      <c r="K306" s="301">
        <v>232479.99</v>
      </c>
      <c r="L306" s="301">
        <v>-1025577.19</v>
      </c>
      <c r="M306" s="301">
        <v>-71073.98</v>
      </c>
      <c r="N306" s="302">
        <f t="shared" si="8"/>
        <v>503545.84089698765</v>
      </c>
      <c r="O306" s="301">
        <v>7327616.6500000004</v>
      </c>
      <c r="P306" s="301">
        <v>2427350.33</v>
      </c>
      <c r="Q306" s="301">
        <v>693783.1</v>
      </c>
      <c r="R306" s="301">
        <v>-12256.56</v>
      </c>
      <c r="S306" s="301">
        <v>3580501.4</v>
      </c>
      <c r="T306" s="301">
        <v>1484279.4</v>
      </c>
      <c r="U306" s="301">
        <v>1313721.3</v>
      </c>
      <c r="V306" s="301">
        <v>6037099.0499999998</v>
      </c>
      <c r="W306" s="302">
        <f t="shared" si="9"/>
        <v>74932265.520896986</v>
      </c>
      <c r="X306" s="301">
        <v>1279</v>
      </c>
      <c r="Y306" s="301">
        <v>0</v>
      </c>
      <c r="Z306" s="303">
        <v>6.4000000000000001E-2</v>
      </c>
      <c r="AA306" s="301">
        <v>3610</v>
      </c>
      <c r="AB306" s="301">
        <v>104</v>
      </c>
      <c r="AC306" s="301">
        <v>5323386</v>
      </c>
      <c r="AD306" s="301">
        <v>0</v>
      </c>
      <c r="AE306" s="301">
        <v>1</v>
      </c>
    </row>
    <row r="307" spans="1:31" x14ac:dyDescent="0.25">
      <c r="A307" s="150">
        <v>5939</v>
      </c>
      <c r="B307" s="294" t="s">
        <v>392</v>
      </c>
      <c r="C307" s="306">
        <v>3525</v>
      </c>
      <c r="D307" s="307">
        <v>71.5</v>
      </c>
      <c r="E307" s="308">
        <v>1</v>
      </c>
      <c r="F307" s="300">
        <v>5266774.01</v>
      </c>
      <c r="G307" s="301">
        <v>720862.36</v>
      </c>
      <c r="H307" s="301">
        <v>173065.8</v>
      </c>
      <c r="I307" s="301">
        <v>39118.85</v>
      </c>
      <c r="J307" s="301"/>
      <c r="K307" s="301">
        <v>24391.85</v>
      </c>
      <c r="L307" s="301">
        <v>-97003.89</v>
      </c>
      <c r="M307" s="301">
        <v>-950</v>
      </c>
      <c r="N307" s="302">
        <f t="shared" si="8"/>
        <v>20946.707805614475</v>
      </c>
      <c r="O307" s="301">
        <v>618122.6</v>
      </c>
      <c r="P307" s="301">
        <v>39528.58</v>
      </c>
      <c r="Q307" s="301">
        <v>58253.599999999999</v>
      </c>
      <c r="R307" s="301">
        <v>-927.27</v>
      </c>
      <c r="S307" s="301">
        <v>254608.9</v>
      </c>
      <c r="T307" s="301">
        <v>98940.5</v>
      </c>
      <c r="U307" s="301">
        <v>289850.95</v>
      </c>
      <c r="V307" s="301">
        <v>249640.3</v>
      </c>
      <c r="W307" s="302">
        <f t="shared" si="9"/>
        <v>7755223.8478056146</v>
      </c>
      <c r="X307" s="301">
        <v>1294</v>
      </c>
      <c r="Y307" s="301">
        <v>0</v>
      </c>
      <c r="Z307" s="303">
        <v>0.13300000000000001</v>
      </c>
      <c r="AA307" s="301">
        <v>476</v>
      </c>
      <c r="AB307" s="301">
        <v>36</v>
      </c>
      <c r="AC307" s="301">
        <v>0</v>
      </c>
      <c r="AD307" s="301">
        <v>0</v>
      </c>
      <c r="AE307" s="301">
        <v>0</v>
      </c>
    </row>
    <row r="308" spans="1:31" x14ac:dyDescent="0.25">
      <c r="A308" s="521" t="s">
        <v>25</v>
      </c>
      <c r="B308" s="522"/>
      <c r="C308" s="327">
        <f>SUM(C8:C307)</f>
        <v>855749</v>
      </c>
      <c r="D308" s="327">
        <f t="shared" ref="D308:E308" si="10">SUM(D8:D307)</f>
        <v>20839.04</v>
      </c>
      <c r="E308" s="327">
        <f t="shared" si="10"/>
        <v>319.02999999999992</v>
      </c>
      <c r="F308" s="352">
        <f>SUM(F8:F307)</f>
        <v>1783861508.1199992</v>
      </c>
      <c r="G308" s="352">
        <f>SUM(G8:G307)</f>
        <v>347714488.46999985</v>
      </c>
      <c r="H308" s="352">
        <f>SUM(H8:H307)</f>
        <v>345429961.95999998</v>
      </c>
      <c r="I308" s="352">
        <f>SUM(I8:I307)</f>
        <v>35391609.700000018</v>
      </c>
      <c r="J308" s="352">
        <f>SUM(J8:J307)</f>
        <v>44826462.00999999</v>
      </c>
      <c r="K308" s="352">
        <f t="shared" ref="K308:AE308" si="11">SUM(K8:K307)</f>
        <v>8628075.7899999935</v>
      </c>
      <c r="L308" s="352">
        <f t="shared" si="11"/>
        <v>-34994329.659999996</v>
      </c>
      <c r="M308" s="352">
        <f t="shared" si="11"/>
        <v>-1722316.1599999992</v>
      </c>
      <c r="N308" s="369">
        <f>Paramètres!C13</f>
        <v>37594416.880000003</v>
      </c>
      <c r="O308" s="352">
        <f t="shared" si="11"/>
        <v>246005767.33000001</v>
      </c>
      <c r="P308" s="352">
        <f t="shared" si="11"/>
        <v>77296066.49000001</v>
      </c>
      <c r="Q308" s="352">
        <f t="shared" si="11"/>
        <v>23612131.200000018</v>
      </c>
      <c r="R308" s="352">
        <f t="shared" si="11"/>
        <v>-12508888.830000006</v>
      </c>
      <c r="S308" s="352">
        <f t="shared" si="11"/>
        <v>105768003.59999998</v>
      </c>
      <c r="T308" s="352">
        <f t="shared" si="11"/>
        <v>94809315.900000036</v>
      </c>
      <c r="U308" s="352">
        <f t="shared" si="11"/>
        <v>86307253.050000042</v>
      </c>
      <c r="V308" s="352">
        <f t="shared" si="11"/>
        <v>99276799.049999937</v>
      </c>
      <c r="W308" s="352">
        <f>SUM(W8:W307)</f>
        <v>3287296324.900001</v>
      </c>
      <c r="X308" s="352">
        <f t="shared" si="11"/>
        <v>269771</v>
      </c>
      <c r="Y308" s="352">
        <f t="shared" si="11"/>
        <v>90992</v>
      </c>
      <c r="Z308" s="354">
        <f t="shared" si="11"/>
        <v>40.945</v>
      </c>
      <c r="AA308" s="352">
        <f t="shared" si="11"/>
        <v>94403</v>
      </c>
      <c r="AB308" s="352">
        <f t="shared" si="11"/>
        <v>19224</v>
      </c>
      <c r="AC308" s="352">
        <f t="shared" si="11"/>
        <v>168424489.40000001</v>
      </c>
      <c r="AD308" s="352">
        <f>SUM(AD8:AD307)</f>
        <v>-24169420.361092065</v>
      </c>
      <c r="AE308" s="352">
        <f t="shared" si="11"/>
        <v>49</v>
      </c>
    </row>
  </sheetData>
  <sheetProtection sheet="1" objects="1" scenarios="1"/>
  <mergeCells count="5">
    <mergeCell ref="A6:A7"/>
    <mergeCell ref="B6:B7"/>
    <mergeCell ref="A308:B308"/>
    <mergeCell ref="D1:E1"/>
    <mergeCell ref="G1:H1"/>
  </mergeCells>
  <hyperlinks>
    <hyperlink ref="C1" location="Paramètres!A1" display="← Précédent" xr:uid="{8CB90A7A-16F3-4772-B584-7F62EE6AFB32}"/>
    <hyperlink ref="D1:E1" location="'Table des matières'!A1" display="Table des matières" xr:uid="{FC4F2057-2D77-41D6-A268-6D545B74DE23}"/>
    <hyperlink ref="F1" location="RFS!A1" display="Suivant →" xr:uid="{CA9BCCB3-793E-42E0-A99F-EA026E985258}"/>
  </hyperlinks>
  <pageMargins left="0.70866141732283472" right="0.70866141732283472" top="0.74803149606299213" bottom="0.74803149606299213" header="0.31496062992125984" footer="0.31496062992125984"/>
  <pageSetup paperSize="9" scale="34" fitToHeight="0" orientation="landscape" r:id="rId1"/>
  <ignoredErrors>
    <ignoredError sqref="X6"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5057-9B7A-4893-95A8-03DA460FB186}">
  <sheetPr codeName="Feuil2">
    <pageSetUpPr fitToPage="1"/>
  </sheetPr>
  <dimension ref="A1:AA308"/>
  <sheetViews>
    <sheetView zoomScale="90" zoomScaleNormal="90" workbookViewId="0">
      <pane ySplit="7" topLeftCell="A8" activePane="bottomLeft" state="frozen"/>
      <selection pane="bottomLeft"/>
    </sheetView>
  </sheetViews>
  <sheetFormatPr baseColWidth="10" defaultRowHeight="15" x14ac:dyDescent="0.25"/>
  <cols>
    <col min="1" max="1" width="7.140625" style="13" customWidth="1"/>
    <col min="2" max="2" width="24.7109375" style="13" bestFit="1" customWidth="1"/>
    <col min="3" max="3" width="12.85546875" style="13" customWidth="1"/>
    <col min="4" max="4" width="7.28515625" style="13" bestFit="1" customWidth="1"/>
    <col min="5" max="5" width="7.42578125" style="13" bestFit="1" customWidth="1"/>
    <col min="6" max="6" width="14.140625" style="13" customWidth="1"/>
    <col min="7" max="8" width="13.28515625" style="13" bestFit="1" customWidth="1"/>
    <col min="9" max="10" width="12.140625" style="13" bestFit="1" customWidth="1"/>
    <col min="11" max="11" width="15.7109375" style="13" bestFit="1" customWidth="1"/>
    <col min="12" max="12" width="12.85546875" style="13" bestFit="1" customWidth="1"/>
    <col min="13" max="13" width="13.28515625" style="13" bestFit="1" customWidth="1"/>
    <col min="14" max="14" width="12.140625" style="13" bestFit="1" customWidth="1"/>
    <col min="15" max="15" width="13.28515625" style="13" bestFit="1" customWidth="1"/>
    <col min="16" max="17" width="12.140625" style="13" bestFit="1" customWidth="1"/>
    <col min="18" max="18" width="14.5703125" style="13" customWidth="1"/>
    <col min="19" max="19" width="2.85546875" style="13" customWidth="1"/>
    <col min="20" max="20" width="16" style="13" customWidth="1"/>
    <col min="21" max="21" width="13.42578125" style="13" bestFit="1" customWidth="1"/>
    <col min="22" max="22" width="12.140625" style="13" bestFit="1" customWidth="1"/>
    <col min="23" max="23" width="14.85546875" style="13" bestFit="1" customWidth="1"/>
    <col min="24" max="24" width="8.42578125" style="13" bestFit="1" customWidth="1"/>
    <col min="25" max="25" width="9.85546875" style="13" bestFit="1" customWidth="1"/>
    <col min="26" max="16384" width="11.42578125" style="13"/>
  </cols>
  <sheetData>
    <row r="1" spans="1:27" ht="26.25" x14ac:dyDescent="0.4">
      <c r="A1" s="80" t="s">
        <v>65</v>
      </c>
      <c r="F1" s="131" t="s">
        <v>442</v>
      </c>
      <c r="G1" s="133" t="s">
        <v>443</v>
      </c>
      <c r="H1" s="134" t="s">
        <v>444</v>
      </c>
      <c r="I1" s="106"/>
      <c r="W1" s="20"/>
      <c r="X1" s="20"/>
      <c r="Y1" s="20"/>
      <c r="Z1" s="20"/>
      <c r="AA1" s="20"/>
    </row>
    <row r="2" spans="1:27" ht="15" customHeight="1" x14ac:dyDescent="0.25">
      <c r="A2" s="62" t="str">
        <f>_xlfn.CONCAT(Paramètres!M5," ",Paramètres!N5)</f>
        <v>Décompte prévisionnel 2026</v>
      </c>
      <c r="E2" s="58"/>
      <c r="N2" s="81"/>
      <c r="R2" s="82"/>
      <c r="T2" s="525" t="s">
        <v>56</v>
      </c>
      <c r="U2" s="529" t="s">
        <v>19</v>
      </c>
      <c r="V2" s="77"/>
      <c r="W2" s="81"/>
      <c r="X2" s="81"/>
      <c r="Y2" s="81"/>
      <c r="Z2" s="81"/>
      <c r="AA2" s="20"/>
    </row>
    <row r="3" spans="1:27" ht="15" customHeight="1" x14ac:dyDescent="0.25">
      <c r="N3" s="81"/>
      <c r="O3" s="83"/>
      <c r="P3" s="83"/>
      <c r="R3" s="82"/>
      <c r="T3" s="526"/>
      <c r="U3" s="530"/>
      <c r="W3" s="81"/>
      <c r="X3" s="81"/>
      <c r="Y3" s="81"/>
      <c r="Z3" s="81"/>
      <c r="AA3" s="20"/>
    </row>
    <row r="4" spans="1:27" ht="15" customHeight="1" x14ac:dyDescent="0.25">
      <c r="H4" s="58"/>
      <c r="I4" s="58"/>
      <c r="J4" s="83"/>
      <c r="K4" s="83"/>
      <c r="L4" s="83"/>
      <c r="M4" s="83"/>
      <c r="N4" s="24"/>
      <c r="O4" s="83"/>
      <c r="P4" s="83"/>
      <c r="R4" s="82"/>
      <c r="T4" s="108" cm="1">
        <f t="array" ref="T4">SUM(F308:N308)/(SUMPRODUCT(F8:F307/D8:D307)+SUMPRODUCT(G8:G307/D8:D307)+SUMPRODUCT(H8:H307/D8:D307)+SUMPRODUCT(I8:I307/D8:D307)+SUMPRODUCT(J8:J307/D8:D307)+SUMPRODUCT(K8:K307/D8:D307)+SUMPRODUCT(L8:L307/D8:D307)+SUMPRODUCT(M8:M307/D8:D307)+SUMPRODUCT(N8:N307/D8:D307))</f>
        <v>67.48387875046572</v>
      </c>
      <c r="U4" s="158">
        <f>Paramètres!C7</f>
        <v>1</v>
      </c>
      <c r="W4" s="20"/>
      <c r="X4" s="20"/>
      <c r="Y4" s="20"/>
      <c r="Z4" s="20"/>
      <c r="AA4" s="20"/>
    </row>
    <row r="5" spans="1:27" ht="15" customHeight="1" x14ac:dyDescent="0.25">
      <c r="A5" s="84"/>
      <c r="B5" s="84"/>
      <c r="C5" s="84"/>
      <c r="D5" s="84"/>
      <c r="E5" s="84"/>
      <c r="G5" s="83"/>
      <c r="H5" s="83"/>
      <c r="I5" s="83"/>
      <c r="J5" s="83"/>
      <c r="K5" s="83"/>
      <c r="L5" s="83"/>
      <c r="M5" s="83"/>
      <c r="N5" s="24"/>
      <c r="O5" s="83"/>
      <c r="P5" s="83"/>
      <c r="R5" s="82"/>
    </row>
    <row r="6" spans="1:27" x14ac:dyDescent="0.25">
      <c r="A6" s="519" t="s">
        <v>0</v>
      </c>
      <c r="B6" s="519" t="s">
        <v>1</v>
      </c>
      <c r="C6" s="519" t="s">
        <v>29</v>
      </c>
      <c r="D6" s="525" t="s">
        <v>15</v>
      </c>
      <c r="E6" s="529" t="s">
        <v>9</v>
      </c>
      <c r="F6" s="525" t="s">
        <v>3</v>
      </c>
      <c r="G6" s="525" t="s">
        <v>4</v>
      </c>
      <c r="H6" s="525" t="s">
        <v>5</v>
      </c>
      <c r="I6" s="525" t="s">
        <v>6</v>
      </c>
      <c r="J6" s="525" t="s">
        <v>7</v>
      </c>
      <c r="K6" s="527" t="s">
        <v>54</v>
      </c>
      <c r="L6" s="525" t="s">
        <v>44</v>
      </c>
      <c r="M6" s="525" t="s">
        <v>578</v>
      </c>
      <c r="N6" s="525" t="s">
        <v>529</v>
      </c>
      <c r="O6" s="529" t="s">
        <v>9</v>
      </c>
      <c r="P6" s="537" t="s">
        <v>8</v>
      </c>
      <c r="Q6" s="537" t="s">
        <v>55</v>
      </c>
      <c r="R6" s="537" t="s">
        <v>440</v>
      </c>
      <c r="T6" s="525" t="s">
        <v>18</v>
      </c>
      <c r="U6" s="529" t="s">
        <v>17</v>
      </c>
      <c r="V6" s="537" t="s">
        <v>27</v>
      </c>
      <c r="W6" s="534" t="s">
        <v>57</v>
      </c>
      <c r="X6" s="535"/>
      <c r="Y6" s="536"/>
    </row>
    <row r="7" spans="1:27" ht="30" x14ac:dyDescent="0.25">
      <c r="A7" s="533"/>
      <c r="B7" s="533"/>
      <c r="C7" s="520"/>
      <c r="D7" s="526"/>
      <c r="E7" s="530"/>
      <c r="F7" s="526"/>
      <c r="G7" s="526"/>
      <c r="H7" s="526"/>
      <c r="I7" s="526"/>
      <c r="J7" s="526"/>
      <c r="K7" s="528"/>
      <c r="L7" s="526"/>
      <c r="M7" s="526"/>
      <c r="N7" s="526"/>
      <c r="O7" s="530"/>
      <c r="P7" s="538"/>
      <c r="Q7" s="538"/>
      <c r="R7" s="538"/>
      <c r="T7" s="526"/>
      <c r="U7" s="530"/>
      <c r="V7" s="538"/>
      <c r="W7" s="244" t="s">
        <v>21</v>
      </c>
      <c r="X7" s="244" t="s">
        <v>16</v>
      </c>
      <c r="Y7" s="244" t="s">
        <v>401</v>
      </c>
    </row>
    <row r="8" spans="1:27" x14ac:dyDescent="0.25">
      <c r="A8" s="147">
        <f>Données!A8</f>
        <v>5401</v>
      </c>
      <c r="B8" s="155" t="str">
        <f>Données!B8</f>
        <v>Aigle</v>
      </c>
      <c r="C8" s="309">
        <f>Données!C8</f>
        <v>11780</v>
      </c>
      <c r="D8" s="310">
        <f>Données!D8</f>
        <v>66</v>
      </c>
      <c r="E8" s="311">
        <f>Données!E8</f>
        <v>1.2</v>
      </c>
      <c r="F8" s="312">
        <f>Données!F8</f>
        <v>14031953.439999999</v>
      </c>
      <c r="G8" s="312">
        <f>Données!G8</f>
        <v>1547066.5</v>
      </c>
      <c r="H8" s="312">
        <f>Données!H8</f>
        <v>1605545</v>
      </c>
      <c r="I8" s="312">
        <f>Données!I8</f>
        <v>230699.85</v>
      </c>
      <c r="J8" s="312">
        <f>Données!J8</f>
        <v>18570.25</v>
      </c>
      <c r="K8" s="312">
        <f>Données!K8</f>
        <v>175768.24</v>
      </c>
      <c r="L8" s="312">
        <f>Données!L8</f>
        <v>-406738.7</v>
      </c>
      <c r="M8" s="312">
        <f>Données!M8</f>
        <v>-6937</v>
      </c>
      <c r="N8" s="312">
        <f>Données!N8</f>
        <v>181272.69966283793</v>
      </c>
      <c r="O8" s="312">
        <f>Données!O8</f>
        <v>2541756.7999999998</v>
      </c>
      <c r="P8" s="312">
        <f>Données!P8</f>
        <v>802236.7</v>
      </c>
      <c r="Q8" s="312">
        <f>Données!Q8</f>
        <v>279154.05</v>
      </c>
      <c r="R8" s="312">
        <f>Données!R8</f>
        <v>-14057.03</v>
      </c>
      <c r="S8" s="313"/>
      <c r="T8" s="314">
        <f t="shared" ref="T8:T71" si="0">(SUM(F8:N8)/D8*$T$4)</f>
        <v>17767892.071141303</v>
      </c>
      <c r="U8" s="315">
        <f t="shared" ref="U8:U71" si="1">O8/E8*$U$4</f>
        <v>2118130.6666666665</v>
      </c>
      <c r="V8" s="315">
        <f t="shared" ref="V8:V71" si="2">SUM(P8:R8)</f>
        <v>1067333.72</v>
      </c>
      <c r="W8" s="316">
        <f t="shared" ref="W8:W71" si="3">SUM(T8:V8)</f>
        <v>20953356.457807969</v>
      </c>
      <c r="X8" s="314">
        <f t="shared" ref="X8:X71" si="4">W8/C8</f>
        <v>1778.7229590668903</v>
      </c>
      <c r="Y8" s="317">
        <f t="shared" ref="Y8:Y71" si="5">X8/$X$308</f>
        <v>0.53248567582827033</v>
      </c>
    </row>
    <row r="9" spans="1:27" x14ac:dyDescent="0.25">
      <c r="A9" s="148">
        <f>Données!A9</f>
        <v>5402</v>
      </c>
      <c r="B9" s="156" t="str">
        <f>Données!B9</f>
        <v>Bex</v>
      </c>
      <c r="C9" s="318">
        <f>Données!C9</f>
        <v>8806</v>
      </c>
      <c r="D9" s="319">
        <f>Données!D9</f>
        <v>71</v>
      </c>
      <c r="E9" s="320">
        <f>Données!E9</f>
        <v>1.25</v>
      </c>
      <c r="F9" s="321">
        <f>Données!F9</f>
        <v>9859037.25</v>
      </c>
      <c r="G9" s="321">
        <f>Données!G9</f>
        <v>1478320.1</v>
      </c>
      <c r="H9" s="321">
        <f>Données!H9</f>
        <v>725065.7</v>
      </c>
      <c r="I9" s="321">
        <f>Données!I9</f>
        <v>103029.7</v>
      </c>
      <c r="J9" s="321">
        <f>Données!J9</f>
        <v>27725.85</v>
      </c>
      <c r="K9" s="321">
        <f>Données!K9</f>
        <v>68748.11</v>
      </c>
      <c r="L9" s="321">
        <f>Données!L9</f>
        <v>-348478.11</v>
      </c>
      <c r="M9" s="321">
        <f>Données!M9</f>
        <v>-1216.6600000000001</v>
      </c>
      <c r="N9" s="321">
        <f>Données!N9</f>
        <v>81748.950166628158</v>
      </c>
      <c r="O9" s="321">
        <f>Données!O9</f>
        <v>1874662.9</v>
      </c>
      <c r="P9" s="321">
        <f>Données!P9</f>
        <v>517206.63</v>
      </c>
      <c r="Q9" s="321">
        <f>Données!Q9</f>
        <v>163861.9</v>
      </c>
      <c r="R9" s="321">
        <f>Données!R9</f>
        <v>-3028.52</v>
      </c>
      <c r="S9" s="313"/>
      <c r="T9" s="302">
        <f t="shared" si="0"/>
        <v>11400004.95954095</v>
      </c>
      <c r="U9" s="322">
        <f t="shared" si="1"/>
        <v>1499730.3199999998</v>
      </c>
      <c r="V9" s="322">
        <f t="shared" si="2"/>
        <v>678040.01</v>
      </c>
      <c r="W9" s="323">
        <f t="shared" si="3"/>
        <v>13577775.28954095</v>
      </c>
      <c r="X9" s="302">
        <f t="shared" si="4"/>
        <v>1541.8777299047183</v>
      </c>
      <c r="Y9" s="324">
        <f t="shared" si="5"/>
        <v>0.46158273320066689</v>
      </c>
    </row>
    <row r="10" spans="1:27" x14ac:dyDescent="0.25">
      <c r="A10" s="148">
        <f>Données!A10</f>
        <v>5403</v>
      </c>
      <c r="B10" s="156" t="str">
        <f>Données!B10</f>
        <v>Chessel</v>
      </c>
      <c r="C10" s="318">
        <f>Données!C10</f>
        <v>528</v>
      </c>
      <c r="D10" s="319">
        <f>Données!D10</f>
        <v>65</v>
      </c>
      <c r="E10" s="320">
        <f>Données!E10</f>
        <v>1</v>
      </c>
      <c r="F10" s="321">
        <f>Données!F10</f>
        <v>613506.68999999994</v>
      </c>
      <c r="G10" s="321">
        <f>Données!G10</f>
        <v>91009.42</v>
      </c>
      <c r="H10" s="321">
        <f>Données!H10</f>
        <v>-15579.35</v>
      </c>
      <c r="I10" s="321">
        <f>Données!I10</f>
        <v>1386.6</v>
      </c>
      <c r="J10" s="321">
        <f>Données!J10</f>
        <v>0</v>
      </c>
      <c r="K10" s="321">
        <f>Données!K10</f>
        <v>9813.4699999999993</v>
      </c>
      <c r="L10" s="321">
        <f>Données!L10</f>
        <v>-21964.68</v>
      </c>
      <c r="M10" s="321">
        <f>Données!M10</f>
        <v>-50</v>
      </c>
      <c r="N10" s="321">
        <f>Données!N10</f>
        <v>-1401.0975214660195</v>
      </c>
      <c r="O10" s="321">
        <f>Données!O10</f>
        <v>90678.9</v>
      </c>
      <c r="P10" s="321">
        <f>Données!P10</f>
        <v>18979.48</v>
      </c>
      <c r="Q10" s="321">
        <f>Données!Q10</f>
        <v>6825.1</v>
      </c>
      <c r="R10" s="321">
        <f>Données!R10</f>
        <v>-222.8</v>
      </c>
      <c r="S10" s="313"/>
      <c r="T10" s="302">
        <f t="shared" si="0"/>
        <v>702580.94543613738</v>
      </c>
      <c r="U10" s="322">
        <f t="shared" si="1"/>
        <v>90678.9</v>
      </c>
      <c r="V10" s="322">
        <f t="shared" si="2"/>
        <v>25581.780000000002</v>
      </c>
      <c r="W10" s="323">
        <f t="shared" si="3"/>
        <v>818841.62543613743</v>
      </c>
      <c r="X10" s="302">
        <f t="shared" si="4"/>
        <v>1550.8364118108664</v>
      </c>
      <c r="Y10" s="324">
        <f t="shared" si="5"/>
        <v>0.4642646403324151</v>
      </c>
    </row>
    <row r="11" spans="1:27" x14ac:dyDescent="0.25">
      <c r="A11" s="148">
        <f>Données!A11</f>
        <v>5404</v>
      </c>
      <c r="B11" s="156" t="str">
        <f>Données!B11</f>
        <v>Corbeyrier</v>
      </c>
      <c r="C11" s="318">
        <f>Données!C11</f>
        <v>452</v>
      </c>
      <c r="D11" s="319">
        <f>Données!D11</f>
        <v>74</v>
      </c>
      <c r="E11" s="320">
        <f>Données!E11</f>
        <v>1.5</v>
      </c>
      <c r="F11" s="321">
        <f>Données!F11</f>
        <v>629160.39</v>
      </c>
      <c r="G11" s="321">
        <f>Données!G11</f>
        <v>153874.09</v>
      </c>
      <c r="H11" s="321">
        <f>Données!H11</f>
        <v>2872.65</v>
      </c>
      <c r="I11" s="321">
        <f>Données!I11</f>
        <v>6183.25</v>
      </c>
      <c r="J11" s="321">
        <f>Données!J11</f>
        <v>0</v>
      </c>
      <c r="K11" s="321">
        <f>Données!K11</f>
        <v>13569.73</v>
      </c>
      <c r="L11" s="321">
        <f>Données!L11</f>
        <v>-12288.1</v>
      </c>
      <c r="M11" s="321">
        <f>Données!M11</f>
        <v>0</v>
      </c>
      <c r="N11" s="321">
        <f>Données!N11</f>
        <v>893.99158335376342</v>
      </c>
      <c r="O11" s="321">
        <f>Données!O11</f>
        <v>141700.4</v>
      </c>
      <c r="P11" s="321">
        <f>Données!P11</f>
        <v>5301.11</v>
      </c>
      <c r="Q11" s="321">
        <f>Données!Q11</f>
        <v>2184.0500000000002</v>
      </c>
      <c r="R11" s="321">
        <f>Données!R11</f>
        <v>-745.15</v>
      </c>
      <c r="S11" s="313"/>
      <c r="T11" s="302">
        <f t="shared" si="0"/>
        <v>724326.35873605742</v>
      </c>
      <c r="U11" s="322">
        <f t="shared" si="1"/>
        <v>94466.933333333334</v>
      </c>
      <c r="V11" s="322">
        <f t="shared" si="2"/>
        <v>6740.01</v>
      </c>
      <c r="W11" s="323">
        <f t="shared" si="3"/>
        <v>825533.30206939077</v>
      </c>
      <c r="X11" s="302">
        <f t="shared" si="4"/>
        <v>1826.4011107729884</v>
      </c>
      <c r="Y11" s="324">
        <f t="shared" si="5"/>
        <v>0.54675879953427053</v>
      </c>
    </row>
    <row r="12" spans="1:27" x14ac:dyDescent="0.25">
      <c r="A12" s="148">
        <f>Données!A12</f>
        <v>5405</v>
      </c>
      <c r="B12" s="156" t="str">
        <f>Données!B12</f>
        <v>Gryon</v>
      </c>
      <c r="C12" s="318">
        <f>Données!C12</f>
        <v>1525</v>
      </c>
      <c r="D12" s="319">
        <f>Données!D12</f>
        <v>73.5</v>
      </c>
      <c r="E12" s="320">
        <f>Données!E12</f>
        <v>1.5</v>
      </c>
      <c r="F12" s="321">
        <f>Données!F12</f>
        <v>3200070.43</v>
      </c>
      <c r="G12" s="321">
        <f>Données!G12</f>
        <v>1440665.97</v>
      </c>
      <c r="H12" s="321">
        <f>Données!H12</f>
        <v>92418.45</v>
      </c>
      <c r="I12" s="321">
        <f>Données!I12</f>
        <v>15028.2</v>
      </c>
      <c r="J12" s="321">
        <f>Données!J12</f>
        <v>142544.35</v>
      </c>
      <c r="K12" s="321">
        <f>Données!K12</f>
        <v>5297.42</v>
      </c>
      <c r="L12" s="321">
        <f>Données!L12</f>
        <v>-33026.68</v>
      </c>
      <c r="M12" s="321">
        <f>Données!M12</f>
        <v>-100</v>
      </c>
      <c r="N12" s="321">
        <f>Données!N12</f>
        <v>10607.051840187904</v>
      </c>
      <c r="O12" s="321">
        <f>Données!O12</f>
        <v>1299900.6000000001</v>
      </c>
      <c r="P12" s="321">
        <f>Données!P12</f>
        <v>134572.49</v>
      </c>
      <c r="Q12" s="321">
        <f>Données!Q12</f>
        <v>18061.8</v>
      </c>
      <c r="R12" s="321">
        <f>Données!R12</f>
        <v>-9004.6</v>
      </c>
      <c r="S12" s="313"/>
      <c r="T12" s="302">
        <f t="shared" si="0"/>
        <v>4474599.0946382107</v>
      </c>
      <c r="U12" s="322">
        <f t="shared" si="1"/>
        <v>866600.4</v>
      </c>
      <c r="V12" s="322">
        <f t="shared" si="2"/>
        <v>143629.68999999997</v>
      </c>
      <c r="W12" s="323">
        <f t="shared" si="3"/>
        <v>5484829.1846382115</v>
      </c>
      <c r="X12" s="302">
        <f t="shared" si="4"/>
        <v>3596.6093014021058</v>
      </c>
      <c r="Y12" s="324">
        <f t="shared" si="5"/>
        <v>1.0766954599562928</v>
      </c>
    </row>
    <row r="13" spans="1:27" x14ac:dyDescent="0.25">
      <c r="A13" s="148">
        <f>Données!A13</f>
        <v>5406</v>
      </c>
      <c r="B13" s="156" t="str">
        <f>Données!B13</f>
        <v>Lavey-Morcles</v>
      </c>
      <c r="C13" s="318">
        <f>Données!C13</f>
        <v>1014</v>
      </c>
      <c r="D13" s="319">
        <f>Données!D13</f>
        <v>71.5</v>
      </c>
      <c r="E13" s="320">
        <f>Données!E13</f>
        <v>1.3</v>
      </c>
      <c r="F13" s="321">
        <f>Données!F13</f>
        <v>1192310.6399999999</v>
      </c>
      <c r="G13" s="321">
        <f>Données!G13</f>
        <v>167461.26999999999</v>
      </c>
      <c r="H13" s="321">
        <f>Données!H13</f>
        <v>108359.8</v>
      </c>
      <c r="I13" s="321">
        <f>Données!I13</f>
        <v>5954.55</v>
      </c>
      <c r="J13" s="321">
        <f>Données!J13</f>
        <v>0</v>
      </c>
      <c r="K13" s="321">
        <f>Données!K13</f>
        <v>22311.08</v>
      </c>
      <c r="L13" s="321">
        <f>Données!L13</f>
        <v>-35338.68</v>
      </c>
      <c r="M13" s="321">
        <f>Données!M13</f>
        <v>-5650</v>
      </c>
      <c r="N13" s="321">
        <f>Données!N13</f>
        <v>11285.025978263484</v>
      </c>
      <c r="O13" s="321">
        <f>Données!O13</f>
        <v>209636.85</v>
      </c>
      <c r="P13" s="321">
        <f>Données!P13</f>
        <v>58937.440000000002</v>
      </c>
      <c r="Q13" s="321">
        <f>Données!Q13</f>
        <v>10214.5</v>
      </c>
      <c r="R13" s="321">
        <f>Données!R13</f>
        <v>-51.85</v>
      </c>
      <c r="S13" s="313"/>
      <c r="T13" s="302">
        <f t="shared" si="0"/>
        <v>1384310.1939668641</v>
      </c>
      <c r="U13" s="322">
        <f t="shared" si="1"/>
        <v>161259.11538461538</v>
      </c>
      <c r="V13" s="322">
        <f t="shared" si="2"/>
        <v>69100.09</v>
      </c>
      <c r="W13" s="323">
        <f t="shared" si="3"/>
        <v>1614669.3993514797</v>
      </c>
      <c r="X13" s="302">
        <f t="shared" si="4"/>
        <v>1592.3761334827216</v>
      </c>
      <c r="Y13" s="324">
        <f t="shared" si="5"/>
        <v>0.47670013887669643</v>
      </c>
    </row>
    <row r="14" spans="1:27" x14ac:dyDescent="0.25">
      <c r="A14" s="148">
        <f>Données!A14</f>
        <v>5407</v>
      </c>
      <c r="B14" s="156" t="str">
        <f>Données!B14</f>
        <v>Leysin</v>
      </c>
      <c r="C14" s="318">
        <f>Données!C14</f>
        <v>3685</v>
      </c>
      <c r="D14" s="319">
        <f>Données!D14</f>
        <v>78</v>
      </c>
      <c r="E14" s="320">
        <f>Données!E14</f>
        <v>1.5</v>
      </c>
      <c r="F14" s="321">
        <f>Données!F14</f>
        <v>4385610.2300000004</v>
      </c>
      <c r="G14" s="321">
        <f>Données!G14</f>
        <v>1117294.8600000001</v>
      </c>
      <c r="H14" s="321">
        <f>Données!H14</f>
        <v>194419.75</v>
      </c>
      <c r="I14" s="321">
        <f>Données!I14</f>
        <v>144470.15</v>
      </c>
      <c r="J14" s="321">
        <f>Données!J14</f>
        <v>175347.8</v>
      </c>
      <c r="K14" s="321">
        <f>Données!K14</f>
        <v>44529.74</v>
      </c>
      <c r="L14" s="321">
        <f>Données!L14</f>
        <v>-193690.05</v>
      </c>
      <c r="M14" s="321">
        <f>Données!M14</f>
        <v>-2583.66</v>
      </c>
      <c r="N14" s="321">
        <f>Données!N14</f>
        <v>33454.954039200806</v>
      </c>
      <c r="O14" s="321">
        <f>Données!O14</f>
        <v>1345574.6</v>
      </c>
      <c r="P14" s="321">
        <f>Données!P14</f>
        <v>503978.57</v>
      </c>
      <c r="Q14" s="321">
        <f>Données!Q14</f>
        <v>61928.85</v>
      </c>
      <c r="R14" s="321">
        <f>Données!R14</f>
        <v>-7220.17</v>
      </c>
      <c r="S14" s="313"/>
      <c r="T14" s="302">
        <f t="shared" si="0"/>
        <v>5103558.1135126753</v>
      </c>
      <c r="U14" s="322">
        <f t="shared" si="1"/>
        <v>897049.7333333334</v>
      </c>
      <c r="V14" s="322">
        <f t="shared" si="2"/>
        <v>558687.25</v>
      </c>
      <c r="W14" s="323">
        <f t="shared" si="3"/>
        <v>6559295.0968460087</v>
      </c>
      <c r="X14" s="302">
        <f t="shared" si="4"/>
        <v>1779.998669429039</v>
      </c>
      <c r="Y14" s="324">
        <f t="shared" si="5"/>
        <v>0.53286757762522374</v>
      </c>
    </row>
    <row r="15" spans="1:27" x14ac:dyDescent="0.25">
      <c r="A15" s="148">
        <f>Données!A15</f>
        <v>5408</v>
      </c>
      <c r="B15" s="156" t="str">
        <f>Données!B15</f>
        <v>Noville</v>
      </c>
      <c r="C15" s="318">
        <f>Données!C15</f>
        <v>1208</v>
      </c>
      <c r="D15" s="319">
        <f>Données!D15</f>
        <v>75</v>
      </c>
      <c r="E15" s="320">
        <f>Données!E15</f>
        <v>1.5</v>
      </c>
      <c r="F15" s="321">
        <f>Données!F15</f>
        <v>2268110.56</v>
      </c>
      <c r="G15" s="321">
        <f>Données!G15</f>
        <v>353475.68</v>
      </c>
      <c r="H15" s="321">
        <f>Données!H15</f>
        <v>38330</v>
      </c>
      <c r="I15" s="321">
        <f>Données!I15</f>
        <v>23571.3</v>
      </c>
      <c r="J15" s="321">
        <f>Données!J15</f>
        <v>0</v>
      </c>
      <c r="K15" s="321">
        <f>Données!K15</f>
        <v>361.86</v>
      </c>
      <c r="L15" s="321">
        <f>Données!L15</f>
        <v>-13148.58</v>
      </c>
      <c r="M15" s="321">
        <f>Données!M15</f>
        <v>0</v>
      </c>
      <c r="N15" s="321">
        <f>Données!N15</f>
        <v>6110.8494129414321</v>
      </c>
      <c r="O15" s="321">
        <f>Données!O15</f>
        <v>548316.1</v>
      </c>
      <c r="P15" s="321">
        <f>Données!P15</f>
        <v>64627.26</v>
      </c>
      <c r="Q15" s="321">
        <f>Données!Q15</f>
        <v>26194.75</v>
      </c>
      <c r="R15" s="321">
        <f>Données!R15</f>
        <v>-2443.9</v>
      </c>
      <c r="S15" s="313"/>
      <c r="T15" s="302">
        <f t="shared" si="0"/>
        <v>2408555.1218199288</v>
      </c>
      <c r="U15" s="322">
        <f t="shared" si="1"/>
        <v>365544.06666666665</v>
      </c>
      <c r="V15" s="322">
        <f t="shared" si="2"/>
        <v>88378.110000000015</v>
      </c>
      <c r="W15" s="323">
        <f t="shared" si="3"/>
        <v>2862477.2984865955</v>
      </c>
      <c r="X15" s="302">
        <f t="shared" si="4"/>
        <v>2369.6004126544663</v>
      </c>
      <c r="Y15" s="324">
        <f t="shared" si="5"/>
        <v>0.70937313241696998</v>
      </c>
    </row>
    <row r="16" spans="1:27" x14ac:dyDescent="0.25">
      <c r="A16" s="148">
        <f>Données!A16</f>
        <v>5409</v>
      </c>
      <c r="B16" s="156" t="str">
        <f>Données!B16</f>
        <v>Ollon</v>
      </c>
      <c r="C16" s="318">
        <f>Données!C16</f>
        <v>8222</v>
      </c>
      <c r="D16" s="319">
        <f>Données!D16</f>
        <v>68</v>
      </c>
      <c r="E16" s="320">
        <f>Données!E16</f>
        <v>1.3</v>
      </c>
      <c r="F16" s="321">
        <f>Données!F16</f>
        <v>15760493.369999999</v>
      </c>
      <c r="G16" s="321">
        <f>Données!G16</f>
        <v>6318412.8099999996</v>
      </c>
      <c r="H16" s="321">
        <f>Données!H16</f>
        <v>686772.95</v>
      </c>
      <c r="I16" s="321">
        <f>Données!I16</f>
        <v>74937.45</v>
      </c>
      <c r="J16" s="321">
        <f>Données!J16</f>
        <v>2261670.7999999998</v>
      </c>
      <c r="K16" s="321">
        <f>Données!K16</f>
        <v>55137.14</v>
      </c>
      <c r="L16" s="321">
        <f>Données!L16</f>
        <v>-233403.12</v>
      </c>
      <c r="M16" s="321">
        <f>Données!M16</f>
        <v>-52787</v>
      </c>
      <c r="N16" s="321">
        <f>Données!N16</f>
        <v>75195.473288467008</v>
      </c>
      <c r="O16" s="321">
        <f>Données!O16</f>
        <v>4480093.7</v>
      </c>
      <c r="P16" s="321">
        <f>Données!P16</f>
        <v>834783.01</v>
      </c>
      <c r="Q16" s="321">
        <f>Données!Q16</f>
        <v>83948.25</v>
      </c>
      <c r="R16" s="321">
        <f>Données!R16</f>
        <v>-142654.78</v>
      </c>
      <c r="S16" s="313"/>
      <c r="T16" s="302">
        <f t="shared" si="0"/>
        <v>24757086.01214698</v>
      </c>
      <c r="U16" s="322">
        <f t="shared" si="1"/>
        <v>3446225.923076923</v>
      </c>
      <c r="V16" s="322">
        <f t="shared" si="2"/>
        <v>776076.48</v>
      </c>
      <c r="W16" s="323">
        <f t="shared" si="3"/>
        <v>28979388.415223904</v>
      </c>
      <c r="X16" s="302">
        <f t="shared" si="4"/>
        <v>3524.6154725400029</v>
      </c>
      <c r="Y16" s="324">
        <f t="shared" si="5"/>
        <v>1.0551430971098534</v>
      </c>
    </row>
    <row r="17" spans="1:25" x14ac:dyDescent="0.25">
      <c r="A17" s="148">
        <f>Données!A17</f>
        <v>5410</v>
      </c>
      <c r="B17" s="156" t="str">
        <f>Données!B17</f>
        <v>Ormont-Dessous</v>
      </c>
      <c r="C17" s="318">
        <f>Données!C17</f>
        <v>1244</v>
      </c>
      <c r="D17" s="319">
        <f>Données!D17</f>
        <v>77</v>
      </c>
      <c r="E17" s="320">
        <f>Données!E17</f>
        <v>1.5</v>
      </c>
      <c r="F17" s="321">
        <f>Données!F17</f>
        <v>1943729.38</v>
      </c>
      <c r="G17" s="321">
        <f>Données!G17</f>
        <v>561014.43000000005</v>
      </c>
      <c r="H17" s="321">
        <f>Données!H17</f>
        <v>51912.85</v>
      </c>
      <c r="I17" s="321">
        <f>Données!I17</f>
        <v>11137.35</v>
      </c>
      <c r="J17" s="321">
        <f>Données!J17</f>
        <v>0</v>
      </c>
      <c r="K17" s="321">
        <f>Données!K17</f>
        <v>813.34</v>
      </c>
      <c r="L17" s="321">
        <f>Données!L17</f>
        <v>-36367.56</v>
      </c>
      <c r="M17" s="321">
        <f>Données!M17</f>
        <v>0</v>
      </c>
      <c r="N17" s="321">
        <f>Données!N17</f>
        <v>6224.2679500404656</v>
      </c>
      <c r="O17" s="321">
        <f>Données!O17</f>
        <v>618969.75</v>
      </c>
      <c r="P17" s="321">
        <f>Données!P17</f>
        <v>75632.97</v>
      </c>
      <c r="Q17" s="321">
        <f>Données!Q17</f>
        <v>12130.5</v>
      </c>
      <c r="R17" s="321">
        <f>Données!R17</f>
        <v>-249.1</v>
      </c>
      <c r="S17" s="313"/>
      <c r="T17" s="302">
        <f t="shared" si="0"/>
        <v>2224745.4636248797</v>
      </c>
      <c r="U17" s="322">
        <f t="shared" si="1"/>
        <v>412646.5</v>
      </c>
      <c r="V17" s="322">
        <f t="shared" si="2"/>
        <v>87514.37</v>
      </c>
      <c r="W17" s="323">
        <f t="shared" si="3"/>
        <v>2724906.3336248798</v>
      </c>
      <c r="X17" s="302">
        <f t="shared" si="4"/>
        <v>2190.4391749396141</v>
      </c>
      <c r="Y17" s="324">
        <f t="shared" si="5"/>
        <v>0.65573870201816897</v>
      </c>
    </row>
    <row r="18" spans="1:25" x14ac:dyDescent="0.25">
      <c r="A18" s="148">
        <f>Données!A18</f>
        <v>5411</v>
      </c>
      <c r="B18" s="156" t="str">
        <f>Données!B18</f>
        <v>Ormont-Dessus</v>
      </c>
      <c r="C18" s="318">
        <f>Données!C18</f>
        <v>1435</v>
      </c>
      <c r="D18" s="319">
        <f>Données!D18</f>
        <v>76</v>
      </c>
      <c r="E18" s="320">
        <f>Données!E18</f>
        <v>1.5</v>
      </c>
      <c r="F18" s="321">
        <f>Données!F18</f>
        <v>3514374.64</v>
      </c>
      <c r="G18" s="321">
        <f>Données!G18</f>
        <v>1403606.1</v>
      </c>
      <c r="H18" s="321">
        <f>Données!H18</f>
        <v>86121.25</v>
      </c>
      <c r="I18" s="321">
        <f>Données!I18</f>
        <v>12474.45</v>
      </c>
      <c r="J18" s="321">
        <f>Données!J18</f>
        <v>214890.85</v>
      </c>
      <c r="K18" s="321">
        <f>Données!K18</f>
        <v>0</v>
      </c>
      <c r="L18" s="321">
        <f>Données!L18</f>
        <v>-34725.78</v>
      </c>
      <c r="M18" s="321">
        <f>Données!M18</f>
        <v>0</v>
      </c>
      <c r="N18" s="321">
        <f>Données!N18</f>
        <v>9733.2927654758387</v>
      </c>
      <c r="O18" s="321">
        <f>Données!O18</f>
        <v>1344570.05</v>
      </c>
      <c r="P18" s="321">
        <f>Données!P18</f>
        <v>198326.04</v>
      </c>
      <c r="Q18" s="321">
        <f>Données!Q18</f>
        <v>2009.4</v>
      </c>
      <c r="R18" s="321">
        <f>Données!R18</f>
        <v>-12238.14</v>
      </c>
      <c r="S18" s="313"/>
      <c r="T18" s="302">
        <f t="shared" si="0"/>
        <v>4623067.2935155304</v>
      </c>
      <c r="U18" s="322">
        <f t="shared" si="1"/>
        <v>896380.03333333333</v>
      </c>
      <c r="V18" s="322">
        <f t="shared" si="2"/>
        <v>188097.3</v>
      </c>
      <c r="W18" s="323">
        <f t="shared" si="3"/>
        <v>5707544.6268488634</v>
      </c>
      <c r="X18" s="302">
        <f t="shared" si="4"/>
        <v>3977.3830152256887</v>
      </c>
      <c r="Y18" s="324">
        <f t="shared" si="5"/>
        <v>1.1906854139901442</v>
      </c>
    </row>
    <row r="19" spans="1:25" x14ac:dyDescent="0.25">
      <c r="A19" s="148">
        <f>Données!A19</f>
        <v>5412</v>
      </c>
      <c r="B19" s="156" t="str">
        <f>Données!B19</f>
        <v>Rennaz</v>
      </c>
      <c r="C19" s="318">
        <f>Données!C19</f>
        <v>949</v>
      </c>
      <c r="D19" s="319">
        <f>Données!D19</f>
        <v>66</v>
      </c>
      <c r="E19" s="320">
        <f>Données!E19</f>
        <v>1</v>
      </c>
      <c r="F19" s="321">
        <f>Données!F19</f>
        <v>1219560.77</v>
      </c>
      <c r="G19" s="321">
        <f>Données!G19</f>
        <v>138483.26</v>
      </c>
      <c r="H19" s="321">
        <f>Données!H19</f>
        <v>243174.5</v>
      </c>
      <c r="I19" s="321">
        <f>Données!I19</f>
        <v>10071.200000000001</v>
      </c>
      <c r="J19" s="321">
        <f>Données!J19</f>
        <v>0</v>
      </c>
      <c r="K19" s="321">
        <f>Données!K19</f>
        <v>7120.72</v>
      </c>
      <c r="L19" s="321">
        <f>Données!L19</f>
        <v>-19022.009999999998</v>
      </c>
      <c r="M19" s="321">
        <f>Données!M19</f>
        <v>0</v>
      </c>
      <c r="N19" s="321">
        <f>Données!N19</f>
        <v>25000.223536096044</v>
      </c>
      <c r="O19" s="321">
        <f>Données!O19</f>
        <v>296277.2</v>
      </c>
      <c r="P19" s="321">
        <f>Données!P19</f>
        <v>99549.21</v>
      </c>
      <c r="Q19" s="321">
        <f>Données!Q19</f>
        <v>43857.45</v>
      </c>
      <c r="R19" s="321">
        <f>Données!R19</f>
        <v>-512.45000000000005</v>
      </c>
      <c r="S19" s="313"/>
      <c r="T19" s="302">
        <f t="shared" si="0"/>
        <v>1660909.8123288024</v>
      </c>
      <c r="U19" s="322">
        <f t="shared" si="1"/>
        <v>296277.2</v>
      </c>
      <c r="V19" s="322">
        <f t="shared" si="2"/>
        <v>142894.21</v>
      </c>
      <c r="W19" s="323">
        <f t="shared" si="3"/>
        <v>2100081.2223288026</v>
      </c>
      <c r="X19" s="302">
        <f t="shared" si="4"/>
        <v>2212.9412247932587</v>
      </c>
      <c r="Y19" s="324">
        <f t="shared" si="5"/>
        <v>0.66247500637785695</v>
      </c>
    </row>
    <row r="20" spans="1:25" x14ac:dyDescent="0.25">
      <c r="A20" s="148">
        <f>Données!A20</f>
        <v>5413</v>
      </c>
      <c r="B20" s="156" t="str">
        <f>Données!B20</f>
        <v>Roche</v>
      </c>
      <c r="C20" s="318">
        <f>Données!C20</f>
        <v>1996</v>
      </c>
      <c r="D20" s="319">
        <f>Données!D20</f>
        <v>68</v>
      </c>
      <c r="E20" s="320">
        <f>Données!E20</f>
        <v>1.2</v>
      </c>
      <c r="F20" s="321">
        <f>Données!F20</f>
        <v>1941409.73</v>
      </c>
      <c r="G20" s="321">
        <f>Données!G20</f>
        <v>262468.46999999997</v>
      </c>
      <c r="H20" s="321">
        <f>Données!H20</f>
        <v>189728.95</v>
      </c>
      <c r="I20" s="321">
        <f>Données!I20</f>
        <v>5903.4</v>
      </c>
      <c r="J20" s="321">
        <f>Données!J20</f>
        <v>0</v>
      </c>
      <c r="K20" s="321">
        <f>Données!K20</f>
        <v>15520.37</v>
      </c>
      <c r="L20" s="321">
        <f>Données!L20</f>
        <v>-77214.77</v>
      </c>
      <c r="M20" s="321">
        <f>Données!M20</f>
        <v>-16416.66</v>
      </c>
      <c r="N20" s="321">
        <f>Données!N20</f>
        <v>19312.677296758757</v>
      </c>
      <c r="O20" s="321">
        <f>Données!O20</f>
        <v>394211.85</v>
      </c>
      <c r="P20" s="321">
        <f>Données!P20</f>
        <v>117947</v>
      </c>
      <c r="Q20" s="321">
        <f>Données!Q20</f>
        <v>37395.75</v>
      </c>
      <c r="R20" s="321">
        <f>Données!R20</f>
        <v>-407.93</v>
      </c>
      <c r="S20" s="313"/>
      <c r="T20" s="302">
        <f t="shared" si="0"/>
        <v>2322946.1189352102</v>
      </c>
      <c r="U20" s="322">
        <f t="shared" si="1"/>
        <v>328509.875</v>
      </c>
      <c r="V20" s="322">
        <f t="shared" si="2"/>
        <v>154934.82</v>
      </c>
      <c r="W20" s="323">
        <f t="shared" si="3"/>
        <v>2806390.81393521</v>
      </c>
      <c r="X20" s="302">
        <f t="shared" si="4"/>
        <v>1406.0074218112275</v>
      </c>
      <c r="Y20" s="324">
        <f t="shared" si="5"/>
        <v>0.42090805001778853</v>
      </c>
    </row>
    <row r="21" spans="1:25" x14ac:dyDescent="0.25">
      <c r="A21" s="148">
        <f>Données!A21</f>
        <v>5414</v>
      </c>
      <c r="B21" s="156" t="str">
        <f>Données!B21</f>
        <v>Villeneuve</v>
      </c>
      <c r="C21" s="318">
        <f>Données!C21</f>
        <v>6039</v>
      </c>
      <c r="D21" s="319">
        <f>Données!D21</f>
        <v>66.5</v>
      </c>
      <c r="E21" s="320">
        <f>Données!E21</f>
        <v>1</v>
      </c>
      <c r="F21" s="321">
        <f>Données!F21</f>
        <v>7547327.6699999999</v>
      </c>
      <c r="G21" s="321">
        <f>Données!G21</f>
        <v>1263837.3500000001</v>
      </c>
      <c r="H21" s="321">
        <f>Données!H21</f>
        <v>763275.45</v>
      </c>
      <c r="I21" s="321">
        <f>Données!I21</f>
        <v>212099.55</v>
      </c>
      <c r="J21" s="321">
        <f>Données!J21</f>
        <v>-20362.099999999999</v>
      </c>
      <c r="K21" s="321">
        <f>Données!K21</f>
        <v>68913.53</v>
      </c>
      <c r="L21" s="321">
        <f>Données!L21</f>
        <v>-189093.93</v>
      </c>
      <c r="M21" s="321">
        <f>Données!M21</f>
        <v>-15950</v>
      </c>
      <c r="N21" s="321">
        <f>Données!N21</f>
        <v>96288.280636234602</v>
      </c>
      <c r="O21" s="321">
        <f>Données!O21</f>
        <v>1350465.4</v>
      </c>
      <c r="P21" s="321">
        <f>Données!P21</f>
        <v>383750.22</v>
      </c>
      <c r="Q21" s="321">
        <f>Données!Q21</f>
        <v>232925.45</v>
      </c>
      <c r="R21" s="321">
        <f>Données!R21</f>
        <v>-4172.68</v>
      </c>
      <c r="S21" s="313"/>
      <c r="T21" s="302">
        <f t="shared" si="0"/>
        <v>9870238.5843075123</v>
      </c>
      <c r="U21" s="322">
        <f t="shared" si="1"/>
        <v>1350465.4</v>
      </c>
      <c r="V21" s="322">
        <f t="shared" si="2"/>
        <v>612502.98999999987</v>
      </c>
      <c r="W21" s="323">
        <f t="shared" si="3"/>
        <v>11833206.974307513</v>
      </c>
      <c r="X21" s="302">
        <f t="shared" si="4"/>
        <v>1959.4646422102192</v>
      </c>
      <c r="Y21" s="324">
        <f t="shared" si="5"/>
        <v>0.58659323474199954</v>
      </c>
    </row>
    <row r="22" spans="1:25" x14ac:dyDescent="0.25">
      <c r="A22" s="148">
        <f>Données!A22</f>
        <v>5415</v>
      </c>
      <c r="B22" s="156" t="str">
        <f>Données!B22</f>
        <v>Yvorne</v>
      </c>
      <c r="C22" s="318">
        <f>Données!C22</f>
        <v>1110</v>
      </c>
      <c r="D22" s="319">
        <f>Données!D22</f>
        <v>71.5</v>
      </c>
      <c r="E22" s="320">
        <f>Données!E22</f>
        <v>1.5</v>
      </c>
      <c r="F22" s="321">
        <f>Données!F22</f>
        <v>1856488.52</v>
      </c>
      <c r="G22" s="321">
        <f>Données!G22</f>
        <v>380684.05</v>
      </c>
      <c r="H22" s="321">
        <f>Données!H22</f>
        <v>64924.5</v>
      </c>
      <c r="I22" s="321">
        <f>Données!I22</f>
        <v>10938.75</v>
      </c>
      <c r="J22" s="321">
        <f>Données!J22</f>
        <v>468.65</v>
      </c>
      <c r="K22" s="321">
        <f>Données!K22</f>
        <v>27307.75</v>
      </c>
      <c r="L22" s="321">
        <f>Données!L22</f>
        <v>-53381.33</v>
      </c>
      <c r="M22" s="321">
        <f>Données!M22</f>
        <v>-1725</v>
      </c>
      <c r="N22" s="321">
        <f>Données!N22</f>
        <v>7489.1625333608354</v>
      </c>
      <c r="O22" s="321">
        <f>Données!O22</f>
        <v>406272.4</v>
      </c>
      <c r="P22" s="321">
        <f>Données!P22</f>
        <v>48385.09</v>
      </c>
      <c r="Q22" s="321">
        <f>Données!Q22</f>
        <v>25126.7</v>
      </c>
      <c r="R22" s="321">
        <f>Données!R22</f>
        <v>-1883.1</v>
      </c>
      <c r="S22" s="313"/>
      <c r="T22" s="302">
        <f t="shared" si="0"/>
        <v>2164387.3688997091</v>
      </c>
      <c r="U22" s="322">
        <f t="shared" si="1"/>
        <v>270848.26666666666</v>
      </c>
      <c r="V22" s="322">
        <f t="shared" si="2"/>
        <v>71628.689999999988</v>
      </c>
      <c r="W22" s="323">
        <f t="shared" si="3"/>
        <v>2506864.3255663756</v>
      </c>
      <c r="X22" s="302">
        <f t="shared" si="4"/>
        <v>2258.436329339077</v>
      </c>
      <c r="Y22" s="324">
        <f t="shared" si="5"/>
        <v>0.67609460428514789</v>
      </c>
    </row>
    <row r="23" spans="1:25" x14ac:dyDescent="0.25">
      <c r="A23" s="148">
        <f>Données!A23</f>
        <v>5422</v>
      </c>
      <c r="B23" s="156" t="str">
        <f>Données!B23</f>
        <v>Aubonne</v>
      </c>
      <c r="C23" s="318">
        <f>Données!C23</f>
        <v>3862</v>
      </c>
      <c r="D23" s="319">
        <f>Données!D23</f>
        <v>68</v>
      </c>
      <c r="E23" s="320">
        <f>Données!E23</f>
        <v>1</v>
      </c>
      <c r="F23" s="321">
        <f>Données!F23</f>
        <v>11561440.810000001</v>
      </c>
      <c r="G23" s="321">
        <f>Données!G23</f>
        <v>1559577.77</v>
      </c>
      <c r="H23" s="321">
        <f>Données!H23</f>
        <v>3605845.4499999993</v>
      </c>
      <c r="I23" s="321">
        <f>Données!I23</f>
        <v>681079.25</v>
      </c>
      <c r="J23" s="321">
        <f>Données!J23</f>
        <v>101327.18</v>
      </c>
      <c r="K23" s="321">
        <f>Données!K23</f>
        <v>5179.3599999999997</v>
      </c>
      <c r="L23" s="321">
        <f>Données!L23</f>
        <v>-90375.5</v>
      </c>
      <c r="M23" s="321">
        <f>Données!M23</f>
        <v>-1100</v>
      </c>
      <c r="N23" s="321">
        <f>Données!N23</f>
        <v>423201.95676535257</v>
      </c>
      <c r="O23" s="321">
        <f>Données!O23</f>
        <v>1205312.6499999999</v>
      </c>
      <c r="P23" s="321">
        <f>Données!P23</f>
        <v>340515.75</v>
      </c>
      <c r="Q23" s="321">
        <f>Données!Q23</f>
        <v>143845.1</v>
      </c>
      <c r="R23" s="321">
        <f>Données!R23</f>
        <v>-7643.3</v>
      </c>
      <c r="S23" s="313"/>
      <c r="T23" s="302">
        <f t="shared" si="0"/>
        <v>17710723.470892217</v>
      </c>
      <c r="U23" s="322">
        <f t="shared" si="1"/>
        <v>1205312.6499999999</v>
      </c>
      <c r="V23" s="322">
        <f t="shared" si="2"/>
        <v>476717.55</v>
      </c>
      <c r="W23" s="323">
        <f t="shared" si="3"/>
        <v>19392753.670892216</v>
      </c>
      <c r="X23" s="302">
        <f t="shared" si="4"/>
        <v>5021.4276724215988</v>
      </c>
      <c r="Y23" s="324">
        <f t="shared" si="5"/>
        <v>1.5032348315641446</v>
      </c>
    </row>
    <row r="24" spans="1:25" x14ac:dyDescent="0.25">
      <c r="A24" s="148">
        <f>Données!A24</f>
        <v>5423</v>
      </c>
      <c r="B24" s="156" t="str">
        <f>Données!B24</f>
        <v>Ballens</v>
      </c>
      <c r="C24" s="318">
        <f>Données!C24</f>
        <v>579</v>
      </c>
      <c r="D24" s="319">
        <f>Données!D24</f>
        <v>73</v>
      </c>
      <c r="E24" s="320">
        <f>Données!E24</f>
        <v>0.5</v>
      </c>
      <c r="F24" s="321">
        <f>Données!F24</f>
        <v>924461.11</v>
      </c>
      <c r="G24" s="321">
        <f>Données!G24</f>
        <v>146217.79</v>
      </c>
      <c r="H24" s="321">
        <f>Données!H24</f>
        <v>21216.45</v>
      </c>
      <c r="I24" s="321">
        <f>Données!I24</f>
        <v>618.4</v>
      </c>
      <c r="J24" s="321">
        <f>Données!J24</f>
        <v>0</v>
      </c>
      <c r="K24" s="321">
        <f>Données!K24</f>
        <v>203.36</v>
      </c>
      <c r="L24" s="321">
        <f>Données!L24</f>
        <v>-23866.16</v>
      </c>
      <c r="M24" s="321">
        <f>Données!M24</f>
        <v>0</v>
      </c>
      <c r="N24" s="321">
        <f>Données!N24</f>
        <v>2155.5198405229653</v>
      </c>
      <c r="O24" s="321">
        <f>Données!O24</f>
        <v>43873.8</v>
      </c>
      <c r="P24" s="321">
        <f>Données!P24</f>
        <v>45017.66</v>
      </c>
      <c r="Q24" s="321">
        <f>Données!Q24</f>
        <v>2926.85</v>
      </c>
      <c r="R24" s="321">
        <f>Données!R24</f>
        <v>-244.8</v>
      </c>
      <c r="S24" s="313"/>
      <c r="T24" s="302">
        <f t="shared" si="0"/>
        <v>990077.68152989272</v>
      </c>
      <c r="U24" s="322">
        <f t="shared" si="1"/>
        <v>87747.6</v>
      </c>
      <c r="V24" s="322">
        <f t="shared" si="2"/>
        <v>47699.71</v>
      </c>
      <c r="W24" s="323">
        <f t="shared" si="3"/>
        <v>1125524.9915298927</v>
      </c>
      <c r="X24" s="302">
        <f t="shared" si="4"/>
        <v>1943.9119024695901</v>
      </c>
      <c r="Y24" s="324">
        <f t="shared" si="5"/>
        <v>0.58193730387342035</v>
      </c>
    </row>
    <row r="25" spans="1:25" x14ac:dyDescent="0.25">
      <c r="A25" s="148">
        <f>Données!A25</f>
        <v>5424</v>
      </c>
      <c r="B25" s="156" t="str">
        <f>Données!B25</f>
        <v>Berolle</v>
      </c>
      <c r="C25" s="318">
        <f>Données!C25</f>
        <v>303</v>
      </c>
      <c r="D25" s="319">
        <f>Données!D25</f>
        <v>75.5</v>
      </c>
      <c r="E25" s="320">
        <f>Données!E25</f>
        <v>1</v>
      </c>
      <c r="F25" s="321">
        <f>Données!F25</f>
        <v>531310.99</v>
      </c>
      <c r="G25" s="321">
        <f>Données!G25</f>
        <v>115549.24</v>
      </c>
      <c r="H25" s="321">
        <f>Données!H25</f>
        <v>2245.65</v>
      </c>
      <c r="I25" s="321">
        <f>Données!I25</f>
        <v>437.85</v>
      </c>
      <c r="J25" s="321">
        <f>Données!J25</f>
        <v>43727.75</v>
      </c>
      <c r="K25" s="321">
        <f>Données!K25</f>
        <v>1746.24</v>
      </c>
      <c r="L25" s="321">
        <f>Données!L25</f>
        <v>-19471.919999999998</v>
      </c>
      <c r="M25" s="321">
        <f>Données!M25</f>
        <v>0</v>
      </c>
      <c r="N25" s="321">
        <f>Données!N25</f>
        <v>264.9130858257958</v>
      </c>
      <c r="O25" s="321">
        <f>Données!O25</f>
        <v>55166.35</v>
      </c>
      <c r="P25" s="321">
        <f>Données!P25</f>
        <v>4493.2700000000004</v>
      </c>
      <c r="Q25" s="321">
        <f>Données!Q25</f>
        <v>766</v>
      </c>
      <c r="R25" s="321">
        <f>Données!R25</f>
        <v>-1160.55</v>
      </c>
      <c r="S25" s="313"/>
      <c r="T25" s="302">
        <f t="shared" si="0"/>
        <v>604057.32741920056</v>
      </c>
      <c r="U25" s="322">
        <f t="shared" si="1"/>
        <v>55166.35</v>
      </c>
      <c r="V25" s="322">
        <f t="shared" si="2"/>
        <v>4098.72</v>
      </c>
      <c r="W25" s="323">
        <f t="shared" si="3"/>
        <v>663322.39741920051</v>
      </c>
      <c r="X25" s="302">
        <f t="shared" si="4"/>
        <v>2189.1828297663383</v>
      </c>
      <c r="Y25" s="324">
        <f t="shared" si="5"/>
        <v>0.65536259746222603</v>
      </c>
    </row>
    <row r="26" spans="1:25" x14ac:dyDescent="0.25">
      <c r="A26" s="148">
        <f>Données!A26</f>
        <v>5425</v>
      </c>
      <c r="B26" s="156" t="str">
        <f>Données!B26</f>
        <v>Bière</v>
      </c>
      <c r="C26" s="318">
        <f>Données!C26</f>
        <v>1680</v>
      </c>
      <c r="D26" s="319">
        <f>Données!D26</f>
        <v>69</v>
      </c>
      <c r="E26" s="320">
        <f>Données!E26</f>
        <v>0.57999999999999996</v>
      </c>
      <c r="F26" s="321">
        <f>Données!F26</f>
        <v>2260553.27</v>
      </c>
      <c r="G26" s="321">
        <f>Données!G26</f>
        <v>299564.74</v>
      </c>
      <c r="H26" s="321">
        <f>Données!H26</f>
        <v>174781.45</v>
      </c>
      <c r="I26" s="321">
        <f>Données!I26</f>
        <v>5609.7</v>
      </c>
      <c r="J26" s="321">
        <f>Données!J26</f>
        <v>0</v>
      </c>
      <c r="K26" s="321">
        <f>Données!K26</f>
        <v>5975.36</v>
      </c>
      <c r="L26" s="321">
        <f>Données!L26</f>
        <v>-69246.740000000005</v>
      </c>
      <c r="M26" s="321">
        <f>Données!M26</f>
        <v>0</v>
      </c>
      <c r="N26" s="321">
        <f>Données!N26</f>
        <v>17808.077586049567</v>
      </c>
      <c r="O26" s="321">
        <f>Données!O26</f>
        <v>139594.15</v>
      </c>
      <c r="P26" s="321">
        <f>Données!P26</f>
        <v>140620.87</v>
      </c>
      <c r="Q26" s="321">
        <f>Données!Q26</f>
        <v>19366.849999999999</v>
      </c>
      <c r="R26" s="321">
        <f>Données!R26</f>
        <v>-154.55000000000001</v>
      </c>
      <c r="S26" s="313"/>
      <c r="T26" s="302">
        <f t="shared" si="0"/>
        <v>2635828.2301490125</v>
      </c>
      <c r="U26" s="322">
        <f t="shared" si="1"/>
        <v>240679.56896551725</v>
      </c>
      <c r="V26" s="322">
        <f t="shared" si="2"/>
        <v>159833.17000000001</v>
      </c>
      <c r="W26" s="323">
        <f t="shared" si="3"/>
        <v>3036340.9691145299</v>
      </c>
      <c r="X26" s="302">
        <f t="shared" si="4"/>
        <v>1807.345814949125</v>
      </c>
      <c r="Y26" s="324">
        <f t="shared" si="5"/>
        <v>0.54105432935629494</v>
      </c>
    </row>
    <row r="27" spans="1:25" x14ac:dyDescent="0.25">
      <c r="A27" s="148">
        <f>Données!A27</f>
        <v>5426</v>
      </c>
      <c r="B27" s="156" t="str">
        <f>Données!B27</f>
        <v>Bougy-Villars</v>
      </c>
      <c r="C27" s="318">
        <f>Données!C27</f>
        <v>511</v>
      </c>
      <c r="D27" s="319">
        <f>Données!D27</f>
        <v>64.5</v>
      </c>
      <c r="E27" s="320">
        <f>Données!E27</f>
        <v>1.2</v>
      </c>
      <c r="F27" s="321">
        <f>Données!F27</f>
        <v>2319778.11</v>
      </c>
      <c r="G27" s="321">
        <f>Données!G27</f>
        <v>830653.68</v>
      </c>
      <c r="H27" s="321">
        <f>Données!H27</f>
        <v>38608.65</v>
      </c>
      <c r="I27" s="321">
        <f>Données!I27</f>
        <v>1764.7</v>
      </c>
      <c r="J27" s="321">
        <f>Données!J27</f>
        <v>932066.36</v>
      </c>
      <c r="K27" s="321">
        <f>Données!K27</f>
        <v>6101.49</v>
      </c>
      <c r="L27" s="321">
        <f>Données!L27</f>
        <v>-10920</v>
      </c>
      <c r="M27" s="321">
        <f>Données!M27</f>
        <v>-200</v>
      </c>
      <c r="N27" s="321">
        <f>Données!N27</f>
        <v>3985.6265077789799</v>
      </c>
      <c r="O27" s="321">
        <f>Données!O27</f>
        <v>347773.75</v>
      </c>
      <c r="P27" s="321">
        <f>Données!P27</f>
        <v>16728.36</v>
      </c>
      <c r="Q27" s="321">
        <f>Données!Q27</f>
        <v>5671.8</v>
      </c>
      <c r="R27" s="321">
        <f>Données!R27</f>
        <v>-2725.51</v>
      </c>
      <c r="S27" s="313"/>
      <c r="T27" s="302">
        <f t="shared" si="0"/>
        <v>4312521.8205488119</v>
      </c>
      <c r="U27" s="322">
        <f t="shared" si="1"/>
        <v>289811.45833333337</v>
      </c>
      <c r="V27" s="322">
        <f t="shared" si="2"/>
        <v>19674.650000000001</v>
      </c>
      <c r="W27" s="323">
        <f t="shared" si="3"/>
        <v>4622007.9288821453</v>
      </c>
      <c r="X27" s="302">
        <f t="shared" si="4"/>
        <v>9045.0253011392269</v>
      </c>
      <c r="Y27" s="324">
        <f t="shared" si="5"/>
        <v>2.7077552385603423</v>
      </c>
    </row>
    <row r="28" spans="1:25" x14ac:dyDescent="0.25">
      <c r="A28" s="148">
        <f>Données!A28</f>
        <v>5427</v>
      </c>
      <c r="B28" s="156" t="str">
        <f>Données!B28</f>
        <v>Féchy</v>
      </c>
      <c r="C28" s="318">
        <f>Données!C28</f>
        <v>919</v>
      </c>
      <c r="D28" s="319">
        <f>Données!D28</f>
        <v>64</v>
      </c>
      <c r="E28" s="320">
        <f>Données!E28</f>
        <v>1.3</v>
      </c>
      <c r="F28" s="321">
        <f>Données!F28</f>
        <v>3664128.13</v>
      </c>
      <c r="G28" s="321">
        <f>Données!G28</f>
        <v>1133203</v>
      </c>
      <c r="H28" s="321">
        <f>Données!H28</f>
        <v>-11502.7</v>
      </c>
      <c r="I28" s="321">
        <f>Données!I28</f>
        <v>16952.95</v>
      </c>
      <c r="J28" s="321">
        <f>Données!J28</f>
        <v>764913.25</v>
      </c>
      <c r="K28" s="321">
        <f>Données!K28</f>
        <v>1055.6099999999999</v>
      </c>
      <c r="L28" s="321">
        <f>Données!L28</f>
        <v>-15833.94</v>
      </c>
      <c r="M28" s="321">
        <f>Données!M28</f>
        <v>0</v>
      </c>
      <c r="N28" s="321">
        <f>Données!N28</f>
        <v>538.04454854557241</v>
      </c>
      <c r="O28" s="321">
        <f>Données!O28</f>
        <v>498553.25</v>
      </c>
      <c r="P28" s="321">
        <f>Données!P28</f>
        <v>-1910.87</v>
      </c>
      <c r="Q28" s="321">
        <f>Données!Q28</f>
        <v>14541.95</v>
      </c>
      <c r="R28" s="321">
        <f>Données!R28</f>
        <v>-17413.25</v>
      </c>
      <c r="S28" s="313"/>
      <c r="T28" s="302">
        <f t="shared" si="0"/>
        <v>5855759.9942775182</v>
      </c>
      <c r="U28" s="322">
        <f t="shared" si="1"/>
        <v>383502.5</v>
      </c>
      <c r="V28" s="322">
        <f t="shared" si="2"/>
        <v>-4782.1699999999983</v>
      </c>
      <c r="W28" s="323">
        <f t="shared" si="3"/>
        <v>6234480.3242775183</v>
      </c>
      <c r="X28" s="302">
        <f t="shared" si="4"/>
        <v>6783.9829426305969</v>
      </c>
      <c r="Y28" s="324">
        <f t="shared" si="5"/>
        <v>2.0308804828769658</v>
      </c>
    </row>
    <row r="29" spans="1:25" x14ac:dyDescent="0.25">
      <c r="A29" s="148">
        <f>Données!A29</f>
        <v>5428</v>
      </c>
      <c r="B29" s="156" t="str">
        <f>Données!B29</f>
        <v>Gimel</v>
      </c>
      <c r="C29" s="318">
        <f>Données!C29</f>
        <v>2458</v>
      </c>
      <c r="D29" s="319">
        <f>Données!D29</f>
        <v>73</v>
      </c>
      <c r="E29" s="320">
        <f>Données!E29</f>
        <v>1.2</v>
      </c>
      <c r="F29" s="321">
        <f>Données!F29</f>
        <v>4206014.88</v>
      </c>
      <c r="G29" s="321">
        <f>Données!G29</f>
        <v>569126.15</v>
      </c>
      <c r="H29" s="321">
        <f>Données!H29</f>
        <v>100229.4</v>
      </c>
      <c r="I29" s="321">
        <f>Données!I29</f>
        <v>28044.1</v>
      </c>
      <c r="J29" s="321">
        <f>Données!J29</f>
        <v>0</v>
      </c>
      <c r="K29" s="321">
        <f>Données!K29</f>
        <v>6750.57</v>
      </c>
      <c r="L29" s="321">
        <f>Données!L29</f>
        <v>-69458.84</v>
      </c>
      <c r="M29" s="321">
        <f>Données!M29</f>
        <v>0</v>
      </c>
      <c r="N29" s="321">
        <f>Données!N29</f>
        <v>12663.062684805373</v>
      </c>
      <c r="O29" s="321">
        <f>Données!O29</f>
        <v>538304.44999999995</v>
      </c>
      <c r="P29" s="321">
        <f>Données!P29</f>
        <v>169031.06</v>
      </c>
      <c r="Q29" s="321">
        <f>Données!Q29</f>
        <v>26188.9</v>
      </c>
      <c r="R29" s="321">
        <f>Données!R29</f>
        <v>-11028.05</v>
      </c>
      <c r="S29" s="313"/>
      <c r="T29" s="302">
        <f t="shared" si="0"/>
        <v>4486632.6973053617</v>
      </c>
      <c r="U29" s="322">
        <f t="shared" si="1"/>
        <v>448587.04166666663</v>
      </c>
      <c r="V29" s="322">
        <f t="shared" si="2"/>
        <v>184191.91</v>
      </c>
      <c r="W29" s="323">
        <f t="shared" si="3"/>
        <v>5119411.6489720289</v>
      </c>
      <c r="X29" s="302">
        <f t="shared" si="4"/>
        <v>2082.7549426249102</v>
      </c>
      <c r="Y29" s="324">
        <f t="shared" si="5"/>
        <v>0.62350191611069739</v>
      </c>
    </row>
    <row r="30" spans="1:25" x14ac:dyDescent="0.25">
      <c r="A30" s="148">
        <f>Données!A30</f>
        <v>5429</v>
      </c>
      <c r="B30" s="156" t="str">
        <f>Données!B30</f>
        <v>Longirod</v>
      </c>
      <c r="C30" s="318">
        <f>Données!C30</f>
        <v>555</v>
      </c>
      <c r="D30" s="319">
        <f>Données!D30</f>
        <v>77.5</v>
      </c>
      <c r="E30" s="320">
        <f>Données!E30</f>
        <v>1</v>
      </c>
      <c r="F30" s="321">
        <f>Données!F30</f>
        <v>1109567.6599999999</v>
      </c>
      <c r="G30" s="321">
        <f>Données!G30</f>
        <v>148513.25</v>
      </c>
      <c r="H30" s="321">
        <f>Données!H30</f>
        <v>1592.5</v>
      </c>
      <c r="I30" s="321">
        <f>Données!I30</f>
        <v>3741.5</v>
      </c>
      <c r="J30" s="321">
        <f>Données!J30</f>
        <v>0</v>
      </c>
      <c r="K30" s="321">
        <f>Données!K30</f>
        <v>535.34</v>
      </c>
      <c r="L30" s="321">
        <f>Données!L30</f>
        <v>-11269.5</v>
      </c>
      <c r="M30" s="321">
        <f>Données!M30</f>
        <v>0</v>
      </c>
      <c r="N30" s="321">
        <f>Données!N30</f>
        <v>526.56843666659017</v>
      </c>
      <c r="O30" s="321">
        <f>Données!O30</f>
        <v>117900.9</v>
      </c>
      <c r="P30" s="321">
        <f>Données!P30</f>
        <v>17752.919999999998</v>
      </c>
      <c r="Q30" s="321">
        <f>Données!Q30</f>
        <v>2231.4499999999998</v>
      </c>
      <c r="R30" s="321">
        <f>Données!R30</f>
        <v>-154.38999999999999</v>
      </c>
      <c r="S30" s="313"/>
      <c r="T30" s="302">
        <f t="shared" si="0"/>
        <v>1091242.4609880813</v>
      </c>
      <c r="U30" s="322">
        <f t="shared" si="1"/>
        <v>117900.9</v>
      </c>
      <c r="V30" s="322">
        <f t="shared" si="2"/>
        <v>19829.98</v>
      </c>
      <c r="W30" s="323">
        <f t="shared" si="3"/>
        <v>1228973.3409880812</v>
      </c>
      <c r="X30" s="302">
        <f t="shared" si="4"/>
        <v>2214.3663801587049</v>
      </c>
      <c r="Y30" s="324">
        <f t="shared" si="5"/>
        <v>0.66290164663347495</v>
      </c>
    </row>
    <row r="31" spans="1:25" x14ac:dyDescent="0.25">
      <c r="A31" s="148">
        <f>Données!A31</f>
        <v>5430</v>
      </c>
      <c r="B31" s="156" t="str">
        <f>Données!B31</f>
        <v>Marchissy</v>
      </c>
      <c r="C31" s="318">
        <f>Données!C31</f>
        <v>510</v>
      </c>
      <c r="D31" s="319">
        <f>Données!D31</f>
        <v>77.5</v>
      </c>
      <c r="E31" s="320">
        <f>Données!E31</f>
        <v>1</v>
      </c>
      <c r="F31" s="321">
        <f>Données!F31</f>
        <v>1020719.01</v>
      </c>
      <c r="G31" s="321">
        <f>Données!G31</f>
        <v>114769.34</v>
      </c>
      <c r="H31" s="321">
        <f>Données!H31</f>
        <v>3907.55</v>
      </c>
      <c r="I31" s="321">
        <f>Données!I31</f>
        <v>386.7</v>
      </c>
      <c r="J31" s="321">
        <f>Données!J31</f>
        <v>0</v>
      </c>
      <c r="K31" s="321">
        <f>Données!K31</f>
        <v>7962.89</v>
      </c>
      <c r="L31" s="321">
        <f>Données!L31</f>
        <v>1168.1300000000001</v>
      </c>
      <c r="M31" s="321">
        <f>Données!M31</f>
        <v>0</v>
      </c>
      <c r="N31" s="321">
        <f>Données!N31</f>
        <v>423.92510482855357</v>
      </c>
      <c r="O31" s="321">
        <f>Données!O31</f>
        <v>96803.5</v>
      </c>
      <c r="P31" s="321">
        <f>Données!P31</f>
        <v>10661.05</v>
      </c>
      <c r="Q31" s="321">
        <f>Données!Q31</f>
        <v>1015.5</v>
      </c>
      <c r="R31" s="321">
        <f>Données!R31</f>
        <v>-76.400000000000006</v>
      </c>
      <c r="S31" s="313"/>
      <c r="T31" s="302">
        <f t="shared" si="0"/>
        <v>1000796.8456414473</v>
      </c>
      <c r="U31" s="322">
        <f t="shared" si="1"/>
        <v>96803.5</v>
      </c>
      <c r="V31" s="322">
        <f t="shared" si="2"/>
        <v>11600.15</v>
      </c>
      <c r="W31" s="323">
        <f t="shared" si="3"/>
        <v>1109200.4956414471</v>
      </c>
      <c r="X31" s="302">
        <f t="shared" si="4"/>
        <v>2174.9029326302884</v>
      </c>
      <c r="Y31" s="324">
        <f t="shared" si="5"/>
        <v>0.65108770988713305</v>
      </c>
    </row>
    <row r="32" spans="1:25" x14ac:dyDescent="0.25">
      <c r="A32" s="148">
        <f>Données!A32</f>
        <v>5431</v>
      </c>
      <c r="B32" s="156" t="str">
        <f>Données!B32</f>
        <v>Mollens</v>
      </c>
      <c r="C32" s="318">
        <f>Données!C32</f>
        <v>324</v>
      </c>
      <c r="D32" s="319">
        <f>Données!D32</f>
        <v>74</v>
      </c>
      <c r="E32" s="320">
        <f>Données!E32</f>
        <v>1</v>
      </c>
      <c r="F32" s="321">
        <f>Données!F32</f>
        <v>652944.82999999996</v>
      </c>
      <c r="G32" s="321">
        <f>Données!G32</f>
        <v>75394.09</v>
      </c>
      <c r="H32" s="321">
        <f>Données!H32</f>
        <v>4258.2</v>
      </c>
      <c r="I32" s="321">
        <f>Données!I32</f>
        <v>277.60000000000002</v>
      </c>
      <c r="J32" s="321">
        <f>Données!J32</f>
        <v>0</v>
      </c>
      <c r="K32" s="321">
        <f>Données!K32</f>
        <v>86.25</v>
      </c>
      <c r="L32" s="321">
        <f>Données!L32</f>
        <v>-7385.76</v>
      </c>
      <c r="M32" s="321">
        <f>Données!M32</f>
        <v>0</v>
      </c>
      <c r="N32" s="321">
        <f>Données!N32</f>
        <v>447.77073772634418</v>
      </c>
      <c r="O32" s="321">
        <f>Données!O32</f>
        <v>52006.3</v>
      </c>
      <c r="P32" s="321">
        <f>Données!P32</f>
        <v>13475.98</v>
      </c>
      <c r="Q32" s="321">
        <f>Données!Q32</f>
        <v>1133.5</v>
      </c>
      <c r="R32" s="321">
        <f>Données!R32</f>
        <v>-732.48</v>
      </c>
      <c r="S32" s="313"/>
      <c r="T32" s="302">
        <f t="shared" si="0"/>
        <v>662092.52435346518</v>
      </c>
      <c r="U32" s="322">
        <f t="shared" si="1"/>
        <v>52006.3</v>
      </c>
      <c r="V32" s="322">
        <f t="shared" si="2"/>
        <v>13877</v>
      </c>
      <c r="W32" s="323">
        <f t="shared" si="3"/>
        <v>727975.82435346523</v>
      </c>
      <c r="X32" s="302">
        <f t="shared" si="4"/>
        <v>2246.8389640539049</v>
      </c>
      <c r="Y32" s="324">
        <f t="shared" si="5"/>
        <v>0.67262277025938044</v>
      </c>
    </row>
    <row r="33" spans="1:25" x14ac:dyDescent="0.25">
      <c r="A33" s="148">
        <f>Données!A33</f>
        <v>5434</v>
      </c>
      <c r="B33" s="156" t="str">
        <f>Données!B33</f>
        <v>Saint-George</v>
      </c>
      <c r="C33" s="318">
        <f>Données!C33</f>
        <v>1083</v>
      </c>
      <c r="D33" s="319">
        <f>Données!D33</f>
        <v>69.5</v>
      </c>
      <c r="E33" s="320">
        <f>Données!E33</f>
        <v>1.2</v>
      </c>
      <c r="F33" s="321">
        <f>Données!F33</f>
        <v>2933694.43</v>
      </c>
      <c r="G33" s="321">
        <f>Données!G33</f>
        <v>303036.45</v>
      </c>
      <c r="H33" s="321">
        <f>Données!H33</f>
        <v>10627.35</v>
      </c>
      <c r="I33" s="321">
        <f>Données!I33</f>
        <v>2605.35</v>
      </c>
      <c r="J33" s="321">
        <f>Données!J33</f>
        <v>0</v>
      </c>
      <c r="K33" s="321">
        <f>Données!K33</f>
        <v>0.55000000000000004</v>
      </c>
      <c r="L33" s="321">
        <f>Données!L33</f>
        <v>-13073.19</v>
      </c>
      <c r="M33" s="321">
        <f>Données!M33</f>
        <v>0</v>
      </c>
      <c r="N33" s="321">
        <f>Données!N33</f>
        <v>1306.3221132129711</v>
      </c>
      <c r="O33" s="321">
        <f>Données!O33</f>
        <v>303342.2</v>
      </c>
      <c r="P33" s="321">
        <f>Données!P33</f>
        <v>44624.43</v>
      </c>
      <c r="Q33" s="321">
        <f>Données!Q33</f>
        <v>4799.2</v>
      </c>
      <c r="R33" s="321">
        <f>Données!R33</f>
        <v>-4140.55</v>
      </c>
      <c r="S33" s="313"/>
      <c r="T33" s="302">
        <f t="shared" si="0"/>
        <v>3144260.5957775274</v>
      </c>
      <c r="U33" s="322">
        <f t="shared" si="1"/>
        <v>252785.16666666669</v>
      </c>
      <c r="V33" s="322">
        <f t="shared" si="2"/>
        <v>45283.079999999994</v>
      </c>
      <c r="W33" s="323">
        <f t="shared" si="3"/>
        <v>3442328.842444194</v>
      </c>
      <c r="X33" s="302">
        <f t="shared" si="4"/>
        <v>3178.5123198930692</v>
      </c>
      <c r="Y33" s="324">
        <f t="shared" si="5"/>
        <v>0.95153226204187991</v>
      </c>
    </row>
    <row r="34" spans="1:25" x14ac:dyDescent="0.25">
      <c r="A34" s="148">
        <f>Données!A34</f>
        <v>5435</v>
      </c>
      <c r="B34" s="156" t="str">
        <f>Données!B34</f>
        <v>Saint-Livres</v>
      </c>
      <c r="C34" s="318">
        <f>Données!C34</f>
        <v>715</v>
      </c>
      <c r="D34" s="319">
        <f>Données!D34</f>
        <v>69</v>
      </c>
      <c r="E34" s="320">
        <f>Données!E34</f>
        <v>1</v>
      </c>
      <c r="F34" s="321">
        <f>Données!F34</f>
        <v>1484375.2</v>
      </c>
      <c r="G34" s="321">
        <f>Données!G34</f>
        <v>223844.79</v>
      </c>
      <c r="H34" s="321">
        <f>Données!H34</f>
        <v>15318</v>
      </c>
      <c r="I34" s="321">
        <f>Données!I34</f>
        <v>718.75</v>
      </c>
      <c r="J34" s="321">
        <f>Données!J34</f>
        <v>0</v>
      </c>
      <c r="K34" s="321">
        <f>Données!K34</f>
        <v>2285.16</v>
      </c>
      <c r="L34" s="321">
        <f>Données!L34</f>
        <v>-19224.900000000001</v>
      </c>
      <c r="M34" s="321">
        <f>Données!M34</f>
        <v>-400</v>
      </c>
      <c r="N34" s="321">
        <f>Données!N34</f>
        <v>1583.1358036582189</v>
      </c>
      <c r="O34" s="321">
        <f>Données!O34</f>
        <v>142961.79999999999</v>
      </c>
      <c r="P34" s="321">
        <f>Données!P34</f>
        <v>13301.02</v>
      </c>
      <c r="Q34" s="321">
        <f>Données!Q34</f>
        <v>0</v>
      </c>
      <c r="R34" s="321">
        <f>Données!R34</f>
        <v>-1210.8699999999999</v>
      </c>
      <c r="S34" s="313"/>
      <c r="T34" s="302">
        <f t="shared" si="0"/>
        <v>1670959.6523149027</v>
      </c>
      <c r="U34" s="322">
        <f t="shared" si="1"/>
        <v>142961.79999999999</v>
      </c>
      <c r="V34" s="322">
        <f t="shared" si="2"/>
        <v>12090.150000000001</v>
      </c>
      <c r="W34" s="323">
        <f t="shared" si="3"/>
        <v>1826011.6023149027</v>
      </c>
      <c r="X34" s="302">
        <f t="shared" si="4"/>
        <v>2553.8623808600037</v>
      </c>
      <c r="Y34" s="324">
        <f t="shared" si="5"/>
        <v>0.76453453805871441</v>
      </c>
    </row>
    <row r="35" spans="1:25" x14ac:dyDescent="0.25">
      <c r="A35" s="148">
        <f>Données!A35</f>
        <v>5436</v>
      </c>
      <c r="B35" s="156" t="str">
        <f>Données!B35</f>
        <v>Saint-Oyens</v>
      </c>
      <c r="C35" s="318">
        <f>Données!C35</f>
        <v>457</v>
      </c>
      <c r="D35" s="319">
        <f>Données!D35</f>
        <v>79</v>
      </c>
      <c r="E35" s="320">
        <f>Données!E35</f>
        <v>0.8</v>
      </c>
      <c r="F35" s="321">
        <f>Données!F35</f>
        <v>1155575.57</v>
      </c>
      <c r="G35" s="321">
        <f>Données!G35</f>
        <v>118224.83</v>
      </c>
      <c r="H35" s="321">
        <f>Données!H35</f>
        <v>14333.15</v>
      </c>
      <c r="I35" s="321">
        <f>Données!I35</f>
        <v>-3.9</v>
      </c>
      <c r="J35" s="321">
        <f>Données!J35</f>
        <v>0</v>
      </c>
      <c r="K35" s="321">
        <f>Données!K35</f>
        <v>0</v>
      </c>
      <c r="L35" s="321">
        <f>Données!L35</f>
        <v>-3750.9</v>
      </c>
      <c r="M35" s="321">
        <f>Données!M35</f>
        <v>0</v>
      </c>
      <c r="N35" s="321">
        <f>Données!N35</f>
        <v>1414.5726979948888</v>
      </c>
      <c r="O35" s="321">
        <f>Données!O35</f>
        <v>74950.899999999994</v>
      </c>
      <c r="P35" s="321">
        <f>Données!P35</f>
        <v>11084.6</v>
      </c>
      <c r="Q35" s="321">
        <f>Données!Q35</f>
        <v>0</v>
      </c>
      <c r="R35" s="321">
        <f>Données!R35</f>
        <v>-1094.7</v>
      </c>
      <c r="S35" s="313"/>
      <c r="T35" s="302">
        <f t="shared" si="0"/>
        <v>1098358.4897102527</v>
      </c>
      <c r="U35" s="322">
        <f t="shared" si="1"/>
        <v>93688.624999999985</v>
      </c>
      <c r="V35" s="322">
        <f t="shared" si="2"/>
        <v>9989.9</v>
      </c>
      <c r="W35" s="323">
        <f t="shared" si="3"/>
        <v>1202037.0147102526</v>
      </c>
      <c r="X35" s="302">
        <f t="shared" si="4"/>
        <v>2630.2779315322814</v>
      </c>
      <c r="Y35" s="324">
        <f t="shared" si="5"/>
        <v>0.78741060537212182</v>
      </c>
    </row>
    <row r="36" spans="1:25" x14ac:dyDescent="0.25">
      <c r="A36" s="148">
        <f>Données!A36</f>
        <v>5437</v>
      </c>
      <c r="B36" s="156" t="str">
        <f>Données!B36</f>
        <v>Saubraz</v>
      </c>
      <c r="C36" s="318">
        <f>Données!C36</f>
        <v>446</v>
      </c>
      <c r="D36" s="319">
        <f>Données!D36</f>
        <v>80</v>
      </c>
      <c r="E36" s="320">
        <f>Données!E36</f>
        <v>1</v>
      </c>
      <c r="F36" s="321">
        <f>Données!F36</f>
        <v>863253.74</v>
      </c>
      <c r="G36" s="321">
        <f>Données!G36</f>
        <v>78488.350000000006</v>
      </c>
      <c r="H36" s="321">
        <f>Données!H36</f>
        <v>2226.25</v>
      </c>
      <c r="I36" s="321">
        <f>Données!I36</f>
        <v>1843.95</v>
      </c>
      <c r="J36" s="321">
        <f>Données!J36</f>
        <v>0</v>
      </c>
      <c r="K36" s="321">
        <f>Données!K36</f>
        <v>1647.18</v>
      </c>
      <c r="L36" s="321">
        <f>Données!L36</f>
        <v>-5555.99</v>
      </c>
      <c r="M36" s="321">
        <f>Données!M36</f>
        <v>0</v>
      </c>
      <c r="N36" s="321">
        <f>Données!N36</f>
        <v>401.80705866523346</v>
      </c>
      <c r="O36" s="321">
        <f>Données!O36</f>
        <v>85026.55</v>
      </c>
      <c r="P36" s="321">
        <f>Données!P36</f>
        <v>28181.37</v>
      </c>
      <c r="Q36" s="321">
        <f>Données!Q36</f>
        <v>1421.35</v>
      </c>
      <c r="R36" s="321">
        <f>Données!R36</f>
        <v>-46.3</v>
      </c>
      <c r="S36" s="313"/>
      <c r="T36" s="302">
        <f t="shared" si="0"/>
        <v>794880.19672237185</v>
      </c>
      <c r="U36" s="322">
        <f t="shared" si="1"/>
        <v>85026.55</v>
      </c>
      <c r="V36" s="322">
        <f t="shared" si="2"/>
        <v>29556.42</v>
      </c>
      <c r="W36" s="323">
        <f t="shared" si="3"/>
        <v>909463.16672237194</v>
      </c>
      <c r="X36" s="302">
        <f t="shared" si="4"/>
        <v>2039.1550823371567</v>
      </c>
      <c r="Y36" s="324">
        <f t="shared" si="5"/>
        <v>0.61044968616505046</v>
      </c>
    </row>
    <row r="37" spans="1:25" x14ac:dyDescent="0.25">
      <c r="A37" s="148">
        <f>Données!A37</f>
        <v>5451</v>
      </c>
      <c r="B37" s="156" t="str">
        <f>Données!B37</f>
        <v>Avenches</v>
      </c>
      <c r="C37" s="318">
        <f>Données!C37</f>
        <v>4895</v>
      </c>
      <c r="D37" s="319">
        <f>Données!D37</f>
        <v>65</v>
      </c>
      <c r="E37" s="320">
        <f>Données!E37</f>
        <v>1.5</v>
      </c>
      <c r="F37" s="321">
        <f>Données!F37</f>
        <v>5219366.24</v>
      </c>
      <c r="G37" s="321">
        <f>Données!G37</f>
        <v>607647.5</v>
      </c>
      <c r="H37" s="321">
        <f>Données!H37</f>
        <v>1598449.15</v>
      </c>
      <c r="I37" s="321">
        <f>Données!I37</f>
        <v>67039.7</v>
      </c>
      <c r="J37" s="321">
        <f>Données!J37</f>
        <v>0</v>
      </c>
      <c r="K37" s="321">
        <f>Données!K37</f>
        <v>33247.120000000003</v>
      </c>
      <c r="L37" s="321">
        <f>Données!L37</f>
        <v>-173312.51</v>
      </c>
      <c r="M37" s="321">
        <f>Données!M37</f>
        <v>-166.66</v>
      </c>
      <c r="N37" s="321">
        <f>Données!N37</f>
        <v>164415.79678105307</v>
      </c>
      <c r="O37" s="321">
        <f>Données!O37</f>
        <v>1566282.95</v>
      </c>
      <c r="P37" s="321">
        <f>Données!P37</f>
        <v>505417.57</v>
      </c>
      <c r="Q37" s="321">
        <f>Données!Q37</f>
        <v>168312.55</v>
      </c>
      <c r="R37" s="321">
        <f>Données!R37</f>
        <v>-1405.22</v>
      </c>
      <c r="S37" s="313"/>
      <c r="T37" s="302">
        <f t="shared" si="0"/>
        <v>7803925.3747171536</v>
      </c>
      <c r="U37" s="322">
        <f t="shared" si="1"/>
        <v>1044188.6333333333</v>
      </c>
      <c r="V37" s="322">
        <f t="shared" si="2"/>
        <v>672324.9</v>
      </c>
      <c r="W37" s="323">
        <f t="shared" si="3"/>
        <v>9520438.9080504868</v>
      </c>
      <c r="X37" s="302">
        <f t="shared" si="4"/>
        <v>1944.9313397447368</v>
      </c>
      <c r="Y37" s="324">
        <f t="shared" si="5"/>
        <v>0.58224248672590107</v>
      </c>
    </row>
    <row r="38" spans="1:25" x14ac:dyDescent="0.25">
      <c r="A38" s="148">
        <f>Données!A38</f>
        <v>5456</v>
      </c>
      <c r="B38" s="156" t="str">
        <f>Données!B38</f>
        <v>Cudrefin</v>
      </c>
      <c r="C38" s="318">
        <f>Données!C38</f>
        <v>1885</v>
      </c>
      <c r="D38" s="319">
        <f>Données!D38</f>
        <v>59</v>
      </c>
      <c r="E38" s="320">
        <f>Données!E38</f>
        <v>1.5</v>
      </c>
      <c r="F38" s="321">
        <f>Données!F38</f>
        <v>3232494.66</v>
      </c>
      <c r="G38" s="321">
        <f>Données!G38</f>
        <v>359506.79</v>
      </c>
      <c r="H38" s="321">
        <f>Données!H38</f>
        <v>50631.8</v>
      </c>
      <c r="I38" s="321">
        <f>Données!I38</f>
        <v>5455.25</v>
      </c>
      <c r="J38" s="321">
        <f>Données!J38</f>
        <v>0</v>
      </c>
      <c r="K38" s="321">
        <f>Données!K38</f>
        <v>3988.02</v>
      </c>
      <c r="L38" s="321">
        <f>Données!L38</f>
        <v>-78155.7</v>
      </c>
      <c r="M38" s="321">
        <f>Données!M38</f>
        <v>0</v>
      </c>
      <c r="N38" s="321">
        <f>Données!N38</f>
        <v>5536.8710603188747</v>
      </c>
      <c r="O38" s="321">
        <f>Données!O38</f>
        <v>592462.25</v>
      </c>
      <c r="P38" s="321">
        <f>Données!P38</f>
        <v>103250.65</v>
      </c>
      <c r="Q38" s="321">
        <f>Données!Q38</f>
        <v>9680.35</v>
      </c>
      <c r="R38" s="321">
        <f>Données!R38</f>
        <v>-331</v>
      </c>
      <c r="S38" s="313"/>
      <c r="T38" s="302">
        <f t="shared" si="0"/>
        <v>4094164.2172192633</v>
      </c>
      <c r="U38" s="322">
        <f t="shared" si="1"/>
        <v>394974.83333333331</v>
      </c>
      <c r="V38" s="322">
        <f t="shared" si="2"/>
        <v>112600</v>
      </c>
      <c r="W38" s="323">
        <f t="shared" si="3"/>
        <v>4601739.0505525963</v>
      </c>
      <c r="X38" s="302">
        <f t="shared" si="4"/>
        <v>2441.2408756247196</v>
      </c>
      <c r="Y38" s="324">
        <f t="shared" si="5"/>
        <v>0.73081971022545422</v>
      </c>
    </row>
    <row r="39" spans="1:25" x14ac:dyDescent="0.25">
      <c r="A39" s="148">
        <f>Données!A39</f>
        <v>5458</v>
      </c>
      <c r="B39" s="156" t="str">
        <f>Données!B39</f>
        <v>Faoug</v>
      </c>
      <c r="C39" s="318">
        <f>Données!C39</f>
        <v>900</v>
      </c>
      <c r="D39" s="319">
        <f>Données!D39</f>
        <v>65</v>
      </c>
      <c r="E39" s="320">
        <f>Données!E39</f>
        <v>1.5</v>
      </c>
      <c r="F39" s="321">
        <f>Données!F39</f>
        <v>1633208.95</v>
      </c>
      <c r="G39" s="321">
        <f>Données!G39</f>
        <v>261871.87</v>
      </c>
      <c r="H39" s="321">
        <f>Données!H39</f>
        <v>36582.699999999997</v>
      </c>
      <c r="I39" s="321">
        <f>Données!I39</f>
        <v>4266.6499999999996</v>
      </c>
      <c r="J39" s="321">
        <f>Données!J39</f>
        <v>0</v>
      </c>
      <c r="K39" s="321">
        <f>Données!K39</f>
        <v>38080.620000000003</v>
      </c>
      <c r="L39" s="321">
        <f>Données!L39</f>
        <v>-65761.320000000007</v>
      </c>
      <c r="M39" s="321">
        <f>Données!M39</f>
        <v>0</v>
      </c>
      <c r="N39" s="321">
        <f>Données!N39</f>
        <v>4032.6168669565759</v>
      </c>
      <c r="O39" s="321">
        <f>Données!O39</f>
        <v>301586.65000000002</v>
      </c>
      <c r="P39" s="321">
        <f>Données!P39</f>
        <v>37990.71</v>
      </c>
      <c r="Q39" s="321">
        <f>Données!Q39</f>
        <v>13446.75</v>
      </c>
      <c r="R39" s="321">
        <f>Données!R39</f>
        <v>-169.9</v>
      </c>
      <c r="S39" s="313"/>
      <c r="T39" s="302">
        <f t="shared" si="0"/>
        <v>1985357.1151818035</v>
      </c>
      <c r="U39" s="322">
        <f t="shared" si="1"/>
        <v>201057.76666666669</v>
      </c>
      <c r="V39" s="322">
        <f t="shared" si="2"/>
        <v>51267.56</v>
      </c>
      <c r="W39" s="323">
        <f t="shared" si="3"/>
        <v>2237682.4418484704</v>
      </c>
      <c r="X39" s="302">
        <f t="shared" si="4"/>
        <v>2486.3138242760783</v>
      </c>
      <c r="Y39" s="324">
        <f t="shared" si="5"/>
        <v>0.7443129298422867</v>
      </c>
    </row>
    <row r="40" spans="1:25" x14ac:dyDescent="0.25">
      <c r="A40" s="148">
        <f>Données!A40</f>
        <v>5464</v>
      </c>
      <c r="B40" s="156" t="str">
        <f>Données!B40</f>
        <v>Vully-les-Lacs</v>
      </c>
      <c r="C40" s="318">
        <f>Données!C40</f>
        <v>3639</v>
      </c>
      <c r="D40" s="319">
        <f>Données!D40</f>
        <v>67</v>
      </c>
      <c r="E40" s="320">
        <f>Données!E40</f>
        <v>1.5</v>
      </c>
      <c r="F40" s="321">
        <f>Données!F40</f>
        <v>6221410.2599999998</v>
      </c>
      <c r="G40" s="321">
        <f>Données!G40</f>
        <v>1198273.56</v>
      </c>
      <c r="H40" s="321">
        <f>Données!H40</f>
        <v>68275.95</v>
      </c>
      <c r="I40" s="321">
        <f>Données!I40</f>
        <v>6437.2</v>
      </c>
      <c r="J40" s="321">
        <f>Données!J40</f>
        <v>36844.300000000003</v>
      </c>
      <c r="K40" s="321">
        <f>Données!K40</f>
        <v>32718.560000000001</v>
      </c>
      <c r="L40" s="321">
        <f>Données!L40</f>
        <v>-108781.32</v>
      </c>
      <c r="M40" s="321">
        <f>Données!M40</f>
        <v>-166.66</v>
      </c>
      <c r="N40" s="321">
        <f>Données!N40</f>
        <v>7375.6255331714374</v>
      </c>
      <c r="O40" s="321">
        <f>Données!O40</f>
        <v>1197142.2</v>
      </c>
      <c r="P40" s="321">
        <f>Données!P40</f>
        <v>95060.71</v>
      </c>
      <c r="Q40" s="321">
        <f>Données!Q40</f>
        <v>-8866.7000000000007</v>
      </c>
      <c r="R40" s="321">
        <f>Données!R40</f>
        <v>-5331</v>
      </c>
      <c r="S40" s="313"/>
      <c r="T40" s="302">
        <f t="shared" si="0"/>
        <v>7516281.3669832014</v>
      </c>
      <c r="U40" s="322">
        <f t="shared" si="1"/>
        <v>798094.79999999993</v>
      </c>
      <c r="V40" s="322">
        <f t="shared" si="2"/>
        <v>80863.010000000009</v>
      </c>
      <c r="W40" s="323">
        <f t="shared" si="3"/>
        <v>8395239.1769832019</v>
      </c>
      <c r="X40" s="302">
        <f t="shared" si="4"/>
        <v>2307.0181854859034</v>
      </c>
      <c r="Y40" s="324">
        <f t="shared" si="5"/>
        <v>0.69063826459574817</v>
      </c>
    </row>
    <row r="41" spans="1:25" x14ac:dyDescent="0.25">
      <c r="A41" s="148">
        <f>Données!A41</f>
        <v>5471</v>
      </c>
      <c r="B41" s="156" t="str">
        <f>Données!B41</f>
        <v>Bettens</v>
      </c>
      <c r="C41" s="318">
        <f>Données!C41</f>
        <v>653</v>
      </c>
      <c r="D41" s="319">
        <f>Données!D41</f>
        <v>70</v>
      </c>
      <c r="E41" s="320">
        <f>Données!E41</f>
        <v>0.9</v>
      </c>
      <c r="F41" s="321">
        <f>Données!F41</f>
        <v>1356409.98</v>
      </c>
      <c r="G41" s="321">
        <f>Données!G41</f>
        <v>115531.43</v>
      </c>
      <c r="H41" s="321">
        <f>Données!H41</f>
        <v>28429.5</v>
      </c>
      <c r="I41" s="321">
        <f>Données!I41</f>
        <v>3133.8</v>
      </c>
      <c r="J41" s="321">
        <f>Données!J41</f>
        <v>0</v>
      </c>
      <c r="K41" s="321">
        <f>Données!K41</f>
        <v>3567.81</v>
      </c>
      <c r="L41" s="321">
        <f>Données!L41</f>
        <v>-32768.050000000003</v>
      </c>
      <c r="M41" s="321">
        <f>Données!M41</f>
        <v>0</v>
      </c>
      <c r="N41" s="321">
        <f>Données!N41</f>
        <v>3115.9050500634767</v>
      </c>
      <c r="O41" s="321">
        <f>Données!O41</f>
        <v>125914.35</v>
      </c>
      <c r="P41" s="321">
        <f>Données!P41</f>
        <v>42256.22</v>
      </c>
      <c r="Q41" s="321">
        <f>Données!Q41</f>
        <v>5494.75</v>
      </c>
      <c r="R41" s="321">
        <f>Données!R41</f>
        <v>-15.2</v>
      </c>
      <c r="S41" s="313"/>
      <c r="T41" s="302">
        <f t="shared" si="0"/>
        <v>1424315.1064763723</v>
      </c>
      <c r="U41" s="322">
        <f t="shared" si="1"/>
        <v>139904.83333333334</v>
      </c>
      <c r="V41" s="322">
        <f t="shared" si="2"/>
        <v>47735.770000000004</v>
      </c>
      <c r="W41" s="323">
        <f t="shared" si="3"/>
        <v>1611955.7098097056</v>
      </c>
      <c r="X41" s="302">
        <f t="shared" si="4"/>
        <v>2468.5386061404374</v>
      </c>
      <c r="Y41" s="324">
        <f t="shared" si="5"/>
        <v>0.73899166888160461</v>
      </c>
    </row>
    <row r="42" spans="1:25" x14ac:dyDescent="0.25">
      <c r="A42" s="148">
        <f>Données!A42</f>
        <v>5472</v>
      </c>
      <c r="B42" s="156" t="str">
        <f>Données!B42</f>
        <v>Bournens</v>
      </c>
      <c r="C42" s="318">
        <f>Données!C42</f>
        <v>532</v>
      </c>
      <c r="D42" s="319">
        <f>Données!D42</f>
        <v>65</v>
      </c>
      <c r="E42" s="320">
        <f>Données!E42</f>
        <v>1</v>
      </c>
      <c r="F42" s="321">
        <f>Données!F42</f>
        <v>1021286.05</v>
      </c>
      <c r="G42" s="321">
        <f>Données!G42</f>
        <v>161821.66</v>
      </c>
      <c r="H42" s="321">
        <f>Données!H42</f>
        <v>-22124.05</v>
      </c>
      <c r="I42" s="321">
        <f>Données!I42</f>
        <v>1495.3</v>
      </c>
      <c r="J42" s="321">
        <f>Données!J42</f>
        <v>0</v>
      </c>
      <c r="K42" s="321">
        <f>Données!K42</f>
        <v>0</v>
      </c>
      <c r="L42" s="321">
        <f>Données!L42</f>
        <v>-9923.1200000000008</v>
      </c>
      <c r="M42" s="321">
        <f>Données!M42</f>
        <v>0</v>
      </c>
      <c r="N42" s="321">
        <f>Données!N42</f>
        <v>-2036.4545627832624</v>
      </c>
      <c r="O42" s="321">
        <f>Données!O42</f>
        <v>120911.7</v>
      </c>
      <c r="P42" s="321">
        <f>Données!P42</f>
        <v>14559.17</v>
      </c>
      <c r="Q42" s="321">
        <f>Données!Q42</f>
        <v>1255.75</v>
      </c>
      <c r="R42" s="321">
        <f>Données!R42</f>
        <v>-667.4</v>
      </c>
      <c r="S42" s="313"/>
      <c r="T42" s="302">
        <f t="shared" si="0"/>
        <v>1194484.7801062379</v>
      </c>
      <c r="U42" s="322">
        <f t="shared" si="1"/>
        <v>120911.7</v>
      </c>
      <c r="V42" s="322">
        <f t="shared" si="2"/>
        <v>15147.52</v>
      </c>
      <c r="W42" s="323">
        <f t="shared" si="3"/>
        <v>1330544.0001062378</v>
      </c>
      <c r="X42" s="302">
        <f t="shared" si="4"/>
        <v>2501.0225565906726</v>
      </c>
      <c r="Y42" s="324">
        <f t="shared" si="5"/>
        <v>0.74871619524524891</v>
      </c>
    </row>
    <row r="43" spans="1:25" x14ac:dyDescent="0.25">
      <c r="A43" s="148">
        <f>Données!A43</f>
        <v>5473</v>
      </c>
      <c r="B43" s="156" t="str">
        <f>Données!B43</f>
        <v>Boussens</v>
      </c>
      <c r="C43" s="318">
        <f>Données!C43</f>
        <v>1007</v>
      </c>
      <c r="D43" s="319">
        <f>Données!D43</f>
        <v>64</v>
      </c>
      <c r="E43" s="320">
        <f>Données!E43</f>
        <v>1</v>
      </c>
      <c r="F43" s="321">
        <f>Données!F43</f>
        <v>1990735.75</v>
      </c>
      <c r="G43" s="321">
        <f>Données!G43</f>
        <v>218311.19</v>
      </c>
      <c r="H43" s="321">
        <f>Données!H43</f>
        <v>24779.200000000001</v>
      </c>
      <c r="I43" s="321">
        <f>Données!I43</f>
        <v>3503.75</v>
      </c>
      <c r="J43" s="321">
        <f>Données!J43</f>
        <v>0</v>
      </c>
      <c r="K43" s="321">
        <f>Données!K43</f>
        <v>0</v>
      </c>
      <c r="L43" s="321">
        <f>Données!L43</f>
        <v>-11408.43</v>
      </c>
      <c r="M43" s="321">
        <f>Données!M43</f>
        <v>-150</v>
      </c>
      <c r="N43" s="321">
        <f>Données!N43</f>
        <v>2792.0713846680424</v>
      </c>
      <c r="O43" s="321">
        <f>Données!O43</f>
        <v>207637</v>
      </c>
      <c r="P43" s="321">
        <f>Données!P43</f>
        <v>28555.37</v>
      </c>
      <c r="Q43" s="321">
        <f>Données!Q43</f>
        <v>8170.35</v>
      </c>
      <c r="R43" s="321">
        <f>Données!R43</f>
        <v>-198.05</v>
      </c>
      <c r="S43" s="313"/>
      <c r="T43" s="302">
        <f t="shared" si="0"/>
        <v>2349876.736557385</v>
      </c>
      <c r="U43" s="322">
        <f t="shared" si="1"/>
        <v>207637</v>
      </c>
      <c r="V43" s="322">
        <f t="shared" si="2"/>
        <v>36527.67</v>
      </c>
      <c r="W43" s="323">
        <f t="shared" si="3"/>
        <v>2594041.4065573849</v>
      </c>
      <c r="X43" s="302">
        <f t="shared" si="4"/>
        <v>2576.0093411692005</v>
      </c>
      <c r="Y43" s="324">
        <f t="shared" si="5"/>
        <v>0.77116454138085688</v>
      </c>
    </row>
    <row r="44" spans="1:25" x14ac:dyDescent="0.25">
      <c r="A44" s="148">
        <f>Données!A44</f>
        <v>5474</v>
      </c>
      <c r="B44" s="156" t="str">
        <f>Données!B44</f>
        <v>La Chaux (Cossonay)</v>
      </c>
      <c r="C44" s="318">
        <f>Données!C44</f>
        <v>436</v>
      </c>
      <c r="D44" s="319">
        <f>Données!D44</f>
        <v>76</v>
      </c>
      <c r="E44" s="320">
        <f>Données!E44</f>
        <v>1.2</v>
      </c>
      <c r="F44" s="321">
        <f>Données!F44</f>
        <v>836779.13</v>
      </c>
      <c r="G44" s="321">
        <f>Données!G44</f>
        <v>86894.99</v>
      </c>
      <c r="H44" s="321">
        <f>Données!H44</f>
        <v>5994</v>
      </c>
      <c r="I44" s="321">
        <f>Données!I44</f>
        <v>4026.1</v>
      </c>
      <c r="J44" s="321">
        <f>Données!J44</f>
        <v>0</v>
      </c>
      <c r="K44" s="321">
        <f>Données!K44</f>
        <v>7693.87</v>
      </c>
      <c r="L44" s="321">
        <f>Données!L44</f>
        <v>-22212.65</v>
      </c>
      <c r="M44" s="321">
        <f>Données!M44</f>
        <v>0</v>
      </c>
      <c r="N44" s="321">
        <f>Données!N44</f>
        <v>989.17667646098619</v>
      </c>
      <c r="O44" s="321">
        <f>Données!O44</f>
        <v>93222.3</v>
      </c>
      <c r="P44" s="321">
        <f>Données!P44</f>
        <v>9797.6</v>
      </c>
      <c r="Q44" s="321">
        <f>Données!Q44</f>
        <v>804.45</v>
      </c>
      <c r="R44" s="321">
        <f>Données!R44</f>
        <v>-367.05</v>
      </c>
      <c r="S44" s="313"/>
      <c r="T44" s="302">
        <f t="shared" si="0"/>
        <v>817056.28187188238</v>
      </c>
      <c r="U44" s="322">
        <f t="shared" si="1"/>
        <v>77685.25</v>
      </c>
      <c r="V44" s="322">
        <f t="shared" si="2"/>
        <v>10235.000000000002</v>
      </c>
      <c r="W44" s="323">
        <f t="shared" si="3"/>
        <v>904976.53187188238</v>
      </c>
      <c r="X44" s="302">
        <f t="shared" si="4"/>
        <v>2075.6342474125745</v>
      </c>
      <c r="Y44" s="324">
        <f t="shared" si="5"/>
        <v>0.62137023608532871</v>
      </c>
    </row>
    <row r="45" spans="1:25" x14ac:dyDescent="0.25">
      <c r="A45" s="148">
        <f>Données!A45</f>
        <v>5475</v>
      </c>
      <c r="B45" s="156" t="str">
        <f>Données!B45</f>
        <v>Chavannes-le-Veyron</v>
      </c>
      <c r="C45" s="318">
        <f>Données!C45</f>
        <v>160</v>
      </c>
      <c r="D45" s="319">
        <f>Données!D45</f>
        <v>75</v>
      </c>
      <c r="E45" s="320">
        <f>Données!E45</f>
        <v>1</v>
      </c>
      <c r="F45" s="321">
        <f>Données!F45</f>
        <v>234626.47</v>
      </c>
      <c r="G45" s="321">
        <f>Données!G45</f>
        <v>43308.53</v>
      </c>
      <c r="H45" s="321">
        <f>Données!H45</f>
        <v>-2054.0500000000002</v>
      </c>
      <c r="I45" s="321">
        <f>Données!I45</f>
        <v>184.5</v>
      </c>
      <c r="J45" s="321">
        <f>Données!J45</f>
        <v>0</v>
      </c>
      <c r="K45" s="321">
        <f>Données!K45</f>
        <v>0</v>
      </c>
      <c r="L45" s="321">
        <f>Données!L45</f>
        <v>170.25</v>
      </c>
      <c r="M45" s="321">
        <f>Données!M45</f>
        <v>0</v>
      </c>
      <c r="N45" s="321">
        <f>Données!N45</f>
        <v>-184.5605588245264</v>
      </c>
      <c r="O45" s="321">
        <f>Données!O45</f>
        <v>27379.3</v>
      </c>
      <c r="P45" s="321">
        <f>Données!P45</f>
        <v>3211.27</v>
      </c>
      <c r="Q45" s="321">
        <f>Données!Q45</f>
        <v>0</v>
      </c>
      <c r="R45" s="321">
        <f>Données!R45</f>
        <v>0</v>
      </c>
      <c r="S45" s="313"/>
      <c r="T45" s="302">
        <f t="shared" si="0"/>
        <v>248386.68830634924</v>
      </c>
      <c r="U45" s="322">
        <f t="shared" si="1"/>
        <v>27379.3</v>
      </c>
      <c r="V45" s="322">
        <f t="shared" si="2"/>
        <v>3211.27</v>
      </c>
      <c r="W45" s="323">
        <f t="shared" si="3"/>
        <v>278977.25830634928</v>
      </c>
      <c r="X45" s="302">
        <f t="shared" si="4"/>
        <v>1743.607864414683</v>
      </c>
      <c r="Y45" s="324">
        <f t="shared" si="5"/>
        <v>0.52197347952904272</v>
      </c>
    </row>
    <row r="46" spans="1:25" x14ac:dyDescent="0.25">
      <c r="A46" s="148">
        <f>Données!A46</f>
        <v>5476</v>
      </c>
      <c r="B46" s="156" t="str">
        <f>Données!B46</f>
        <v>Chevilly</v>
      </c>
      <c r="C46" s="318">
        <f>Données!C46</f>
        <v>346</v>
      </c>
      <c r="D46" s="319">
        <f>Données!D46</f>
        <v>70</v>
      </c>
      <c r="E46" s="320">
        <f>Données!E46</f>
        <v>1</v>
      </c>
      <c r="F46" s="321">
        <f>Données!F46</f>
        <v>679585.5</v>
      </c>
      <c r="G46" s="321">
        <f>Données!G46</f>
        <v>104153.5</v>
      </c>
      <c r="H46" s="321">
        <f>Données!H46</f>
        <v>8403.15</v>
      </c>
      <c r="I46" s="321">
        <f>Données!I46</f>
        <v>68.95</v>
      </c>
      <c r="J46" s="321">
        <f>Données!J46</f>
        <v>0</v>
      </c>
      <c r="K46" s="321">
        <f>Données!K46</f>
        <v>0</v>
      </c>
      <c r="L46" s="321">
        <f>Données!L46</f>
        <v>-28195.74</v>
      </c>
      <c r="M46" s="321">
        <f>Données!M46</f>
        <v>0</v>
      </c>
      <c r="N46" s="321">
        <f>Données!N46</f>
        <v>836.35928989182958</v>
      </c>
      <c r="O46" s="321">
        <f>Données!O46</f>
        <v>64025.599999999999</v>
      </c>
      <c r="P46" s="321">
        <f>Données!P46</f>
        <v>8117.93</v>
      </c>
      <c r="Q46" s="321">
        <f>Données!Q46</f>
        <v>0</v>
      </c>
      <c r="R46" s="321">
        <f>Données!R46</f>
        <v>0</v>
      </c>
      <c r="S46" s="313"/>
      <c r="T46" s="302">
        <f t="shared" si="0"/>
        <v>737359.43838063278</v>
      </c>
      <c r="U46" s="322">
        <f t="shared" si="1"/>
        <v>64025.599999999999</v>
      </c>
      <c r="V46" s="322">
        <f t="shared" si="2"/>
        <v>8117.93</v>
      </c>
      <c r="W46" s="323">
        <f t="shared" si="3"/>
        <v>809502.96838063281</v>
      </c>
      <c r="X46" s="302">
        <f t="shared" si="4"/>
        <v>2339.6039548573203</v>
      </c>
      <c r="Y46" s="324">
        <f t="shared" si="5"/>
        <v>0.70039327188211375</v>
      </c>
    </row>
    <row r="47" spans="1:25" x14ac:dyDescent="0.25">
      <c r="A47" s="148">
        <f>Données!A47</f>
        <v>5477</v>
      </c>
      <c r="B47" s="156" t="str">
        <f>Données!B47</f>
        <v>Cossonay</v>
      </c>
      <c r="C47" s="318">
        <f>Données!C47</f>
        <v>4902</v>
      </c>
      <c r="D47" s="319">
        <f>Données!D47</f>
        <v>68</v>
      </c>
      <c r="E47" s="320">
        <f>Données!E47</f>
        <v>1</v>
      </c>
      <c r="F47" s="321">
        <f>Données!F47</f>
        <v>9339538.0600000005</v>
      </c>
      <c r="G47" s="321">
        <f>Données!G47</f>
        <v>1133733.04</v>
      </c>
      <c r="H47" s="321">
        <f>Données!H47</f>
        <v>590561.6</v>
      </c>
      <c r="I47" s="321">
        <f>Données!I47</f>
        <v>28739.65</v>
      </c>
      <c r="J47" s="321">
        <f>Données!J47</f>
        <v>0</v>
      </c>
      <c r="K47" s="321">
        <f>Données!K47</f>
        <v>4883.88</v>
      </c>
      <c r="L47" s="321">
        <f>Données!L47</f>
        <v>-48904.52</v>
      </c>
      <c r="M47" s="321">
        <f>Données!M47</f>
        <v>-250</v>
      </c>
      <c r="N47" s="321">
        <f>Données!N47</f>
        <v>61136.949950912094</v>
      </c>
      <c r="O47" s="321">
        <f>Données!O47</f>
        <v>907531.25</v>
      </c>
      <c r="P47" s="321">
        <f>Données!P47</f>
        <v>263251.78999999998</v>
      </c>
      <c r="Q47" s="321">
        <f>Données!Q47</f>
        <v>64814</v>
      </c>
      <c r="R47" s="321">
        <f>Données!R47</f>
        <v>-2189.1</v>
      </c>
      <c r="S47" s="313"/>
      <c r="T47" s="302">
        <f t="shared" si="0"/>
        <v>11025117.816380352</v>
      </c>
      <c r="U47" s="322">
        <f t="shared" si="1"/>
        <v>907531.25</v>
      </c>
      <c r="V47" s="322">
        <f t="shared" si="2"/>
        <v>325876.69</v>
      </c>
      <c r="W47" s="323">
        <f t="shared" si="3"/>
        <v>12258525.756380351</v>
      </c>
      <c r="X47" s="302">
        <f t="shared" si="4"/>
        <v>2500.7192485476035</v>
      </c>
      <c r="Y47" s="324">
        <f t="shared" si="5"/>
        <v>0.74862539572670983</v>
      </c>
    </row>
    <row r="48" spans="1:25" x14ac:dyDescent="0.25">
      <c r="A48" s="148">
        <f>Données!A48</f>
        <v>5479</v>
      </c>
      <c r="B48" s="156" t="str">
        <f>Données!B48</f>
        <v>Cuarnens</v>
      </c>
      <c r="C48" s="318">
        <f>Données!C48</f>
        <v>561</v>
      </c>
      <c r="D48" s="319">
        <f>Données!D48</f>
        <v>76</v>
      </c>
      <c r="E48" s="320">
        <f>Données!E48</f>
        <v>1</v>
      </c>
      <c r="F48" s="321">
        <f>Données!F48</f>
        <v>1138989.81</v>
      </c>
      <c r="G48" s="321">
        <f>Données!G48</f>
        <v>189168.96</v>
      </c>
      <c r="H48" s="321">
        <f>Données!H48</f>
        <v>18432.849999999999</v>
      </c>
      <c r="I48" s="321">
        <f>Données!I48</f>
        <v>227.7</v>
      </c>
      <c r="J48" s="321">
        <f>Données!J48</f>
        <v>0</v>
      </c>
      <c r="K48" s="321">
        <f>Données!K48</f>
        <v>5996.81</v>
      </c>
      <c r="L48" s="321">
        <f>Données!L48</f>
        <v>-16400.77</v>
      </c>
      <c r="M48" s="321">
        <f>Données!M48</f>
        <v>0</v>
      </c>
      <c r="N48" s="321">
        <f>Données!N48</f>
        <v>1842.1553507384212</v>
      </c>
      <c r="O48" s="321">
        <f>Données!O48</f>
        <v>99340.45</v>
      </c>
      <c r="P48" s="321">
        <f>Données!P48</f>
        <v>16723.59</v>
      </c>
      <c r="Q48" s="321">
        <f>Données!Q48</f>
        <v>2288</v>
      </c>
      <c r="R48" s="321">
        <f>Données!R48</f>
        <v>-979.15</v>
      </c>
      <c r="S48" s="313"/>
      <c r="T48" s="302">
        <f t="shared" si="0"/>
        <v>1188300.103984589</v>
      </c>
      <c r="U48" s="322">
        <f t="shared" si="1"/>
        <v>99340.45</v>
      </c>
      <c r="V48" s="322">
        <f t="shared" si="2"/>
        <v>18032.439999999999</v>
      </c>
      <c r="W48" s="323">
        <f t="shared" si="3"/>
        <v>1305672.9939845889</v>
      </c>
      <c r="X48" s="302">
        <f t="shared" si="4"/>
        <v>2327.4028413272531</v>
      </c>
      <c r="Y48" s="324">
        <f t="shared" si="5"/>
        <v>0.69674069734778399</v>
      </c>
    </row>
    <row r="49" spans="1:25" x14ac:dyDescent="0.25">
      <c r="A49" s="148">
        <f>Données!A49</f>
        <v>5480</v>
      </c>
      <c r="B49" s="156" t="str">
        <f>Données!B49</f>
        <v>Daillens</v>
      </c>
      <c r="C49" s="318">
        <f>Données!C49</f>
        <v>1099</v>
      </c>
      <c r="D49" s="319">
        <f>Données!D49</f>
        <v>66</v>
      </c>
      <c r="E49" s="320">
        <f>Données!E49</f>
        <v>1.2</v>
      </c>
      <c r="F49" s="321">
        <f>Données!F49</f>
        <v>2308541.4399999999</v>
      </c>
      <c r="G49" s="321">
        <f>Données!G49</f>
        <v>359150.54</v>
      </c>
      <c r="H49" s="321">
        <f>Données!H49</f>
        <v>240117.6</v>
      </c>
      <c r="I49" s="321">
        <f>Données!I49</f>
        <v>-6843.85</v>
      </c>
      <c r="J49" s="321">
        <f>Données!J49</f>
        <v>0</v>
      </c>
      <c r="K49" s="321">
        <f>Données!K49</f>
        <v>1238.28</v>
      </c>
      <c r="L49" s="321">
        <f>Données!L49</f>
        <v>-65065.599999999999</v>
      </c>
      <c r="M49" s="321">
        <f>Données!M49</f>
        <v>0</v>
      </c>
      <c r="N49" s="321">
        <f>Données!N49</f>
        <v>23028.607771438506</v>
      </c>
      <c r="O49" s="321">
        <f>Données!O49</f>
        <v>408000.3</v>
      </c>
      <c r="P49" s="321">
        <f>Données!P49</f>
        <v>56333.919999999998</v>
      </c>
      <c r="Q49" s="321">
        <f>Données!Q49</f>
        <v>13078.7</v>
      </c>
      <c r="R49" s="321">
        <f>Données!R49</f>
        <v>-1600.42</v>
      </c>
      <c r="S49" s="313"/>
      <c r="T49" s="302">
        <f t="shared" si="0"/>
        <v>2924472.185354074</v>
      </c>
      <c r="U49" s="322">
        <f t="shared" si="1"/>
        <v>340000.25</v>
      </c>
      <c r="V49" s="322">
        <f t="shared" si="2"/>
        <v>67812.2</v>
      </c>
      <c r="W49" s="323">
        <f t="shared" si="3"/>
        <v>3332284.6353540742</v>
      </c>
      <c r="X49" s="302">
        <f t="shared" si="4"/>
        <v>3032.1061286206318</v>
      </c>
      <c r="Y49" s="324">
        <f t="shared" si="5"/>
        <v>0.90770351439584751</v>
      </c>
    </row>
    <row r="50" spans="1:25" x14ac:dyDescent="0.25">
      <c r="A50" s="148">
        <f>Données!A50</f>
        <v>5481</v>
      </c>
      <c r="B50" s="156" t="str">
        <f>Données!B50</f>
        <v>Dizy</v>
      </c>
      <c r="C50" s="318">
        <f>Données!C50</f>
        <v>238</v>
      </c>
      <c r="D50" s="319">
        <f>Données!D50</f>
        <v>75</v>
      </c>
      <c r="E50" s="320">
        <f>Données!E50</f>
        <v>1</v>
      </c>
      <c r="F50" s="321">
        <f>Données!F50</f>
        <v>478341.4</v>
      </c>
      <c r="G50" s="321">
        <f>Données!G50</f>
        <v>85145.51</v>
      </c>
      <c r="H50" s="321">
        <f>Données!H50</f>
        <v>44187.25</v>
      </c>
      <c r="I50" s="321">
        <f>Données!I50</f>
        <v>391.4</v>
      </c>
      <c r="J50" s="321">
        <f>Données!J50</f>
        <v>0</v>
      </c>
      <c r="K50" s="321">
        <f>Données!K50</f>
        <v>0</v>
      </c>
      <c r="L50" s="321">
        <f>Données!L50</f>
        <v>-2852.98</v>
      </c>
      <c r="M50" s="321">
        <f>Données!M50</f>
        <v>0</v>
      </c>
      <c r="N50" s="321">
        <f>Données!N50</f>
        <v>4400.7705360343252</v>
      </c>
      <c r="O50" s="321">
        <f>Données!O50</f>
        <v>42351.1</v>
      </c>
      <c r="P50" s="321">
        <f>Données!P50</f>
        <v>4980.2700000000004</v>
      </c>
      <c r="Q50" s="321">
        <f>Données!Q50</f>
        <v>0</v>
      </c>
      <c r="R50" s="321">
        <f>Données!R50</f>
        <v>0</v>
      </c>
      <c r="S50" s="313"/>
      <c r="T50" s="302">
        <f t="shared" si="0"/>
        <v>548520.97909651871</v>
      </c>
      <c r="U50" s="322">
        <f t="shared" si="1"/>
        <v>42351.1</v>
      </c>
      <c r="V50" s="322">
        <f t="shared" si="2"/>
        <v>4980.2700000000004</v>
      </c>
      <c r="W50" s="323">
        <f t="shared" si="3"/>
        <v>595852.34909651871</v>
      </c>
      <c r="X50" s="302">
        <f t="shared" si="4"/>
        <v>2503.5812987248687</v>
      </c>
      <c r="Y50" s="324">
        <f t="shared" si="5"/>
        <v>0.74948219060593879</v>
      </c>
    </row>
    <row r="51" spans="1:25" x14ac:dyDescent="0.25">
      <c r="A51" s="148">
        <f>Données!A51</f>
        <v>5482</v>
      </c>
      <c r="B51" s="156" t="str">
        <f>Données!B51</f>
        <v>Eclépens</v>
      </c>
      <c r="C51" s="318">
        <f>Données!C51</f>
        <v>1211</v>
      </c>
      <c r="D51" s="319">
        <f>Données!D51</f>
        <v>46</v>
      </c>
      <c r="E51" s="320">
        <f>Données!E51</f>
        <v>1</v>
      </c>
      <c r="F51" s="321">
        <f>Données!F51</f>
        <v>1363516.07</v>
      </c>
      <c r="G51" s="321">
        <f>Données!G51</f>
        <v>180568.03</v>
      </c>
      <c r="H51" s="321">
        <f>Données!H51</f>
        <v>200760.55</v>
      </c>
      <c r="I51" s="321">
        <f>Données!I51</f>
        <v>5564.55</v>
      </c>
      <c r="J51" s="321">
        <f>Données!J51</f>
        <v>0</v>
      </c>
      <c r="K51" s="321">
        <f>Données!K51</f>
        <v>14227.49</v>
      </c>
      <c r="L51" s="321">
        <f>Données!L51</f>
        <v>-30197.040000000001</v>
      </c>
      <c r="M51" s="321">
        <f>Données!M51</f>
        <v>0</v>
      </c>
      <c r="N51" s="321">
        <f>Données!N51</f>
        <v>20368.257471330686</v>
      </c>
      <c r="O51" s="321">
        <f>Données!O51</f>
        <v>454670.8</v>
      </c>
      <c r="P51" s="321">
        <f>Données!P51</f>
        <v>81331.199999999997</v>
      </c>
      <c r="Q51" s="321">
        <f>Données!Q51</f>
        <v>23193.3</v>
      </c>
      <c r="R51" s="321">
        <f>Données!R51</f>
        <v>-275.85000000000002</v>
      </c>
      <c r="S51" s="313"/>
      <c r="T51" s="302">
        <f t="shared" si="0"/>
        <v>2574374.8708294299</v>
      </c>
      <c r="U51" s="322">
        <f t="shared" si="1"/>
        <v>454670.8</v>
      </c>
      <c r="V51" s="322">
        <f t="shared" si="2"/>
        <v>104248.65</v>
      </c>
      <c r="W51" s="323">
        <f t="shared" si="3"/>
        <v>3133294.3208294297</v>
      </c>
      <c r="X51" s="302">
        <f t="shared" si="4"/>
        <v>2587.3611237237237</v>
      </c>
      <c r="Y51" s="324">
        <f t="shared" si="5"/>
        <v>0.77456285677032699</v>
      </c>
    </row>
    <row r="52" spans="1:25" x14ac:dyDescent="0.25">
      <c r="A52" s="148">
        <f>Données!A52</f>
        <v>5483</v>
      </c>
      <c r="B52" s="156" t="str">
        <f>Données!B52</f>
        <v>Ferreyres</v>
      </c>
      <c r="C52" s="318">
        <f>Données!C52</f>
        <v>309</v>
      </c>
      <c r="D52" s="319">
        <f>Données!D52</f>
        <v>76</v>
      </c>
      <c r="E52" s="320">
        <f>Données!E52</f>
        <v>1</v>
      </c>
      <c r="F52" s="321">
        <f>Données!F52</f>
        <v>723872.68</v>
      </c>
      <c r="G52" s="321">
        <f>Données!G52</f>
        <v>82293.279999999999</v>
      </c>
      <c r="H52" s="321">
        <f>Données!H52</f>
        <v>-3154.25</v>
      </c>
      <c r="I52" s="321">
        <f>Données!I52</f>
        <v>1722.6</v>
      </c>
      <c r="J52" s="321">
        <f>Données!J52</f>
        <v>0</v>
      </c>
      <c r="K52" s="321">
        <f>Données!K52</f>
        <v>0</v>
      </c>
      <c r="L52" s="321">
        <f>Données!L52</f>
        <v>-11798.06</v>
      </c>
      <c r="M52" s="321">
        <f>Données!M52</f>
        <v>0</v>
      </c>
      <c r="N52" s="321">
        <f>Données!N52</f>
        <v>-141.33140276597749</v>
      </c>
      <c r="O52" s="321">
        <f>Données!O52</f>
        <v>58650.400000000001</v>
      </c>
      <c r="P52" s="321">
        <f>Données!P52</f>
        <v>184.35</v>
      </c>
      <c r="Q52" s="321">
        <f>Données!Q52</f>
        <v>175.5</v>
      </c>
      <c r="R52" s="321">
        <f>Données!R52</f>
        <v>-940.71</v>
      </c>
      <c r="S52" s="313"/>
      <c r="T52" s="302">
        <f t="shared" si="0"/>
        <v>703958.89685001422</v>
      </c>
      <c r="U52" s="322">
        <f t="shared" si="1"/>
        <v>58650.400000000001</v>
      </c>
      <c r="V52" s="322">
        <f t="shared" si="2"/>
        <v>-580.86</v>
      </c>
      <c r="W52" s="323">
        <f t="shared" si="3"/>
        <v>762028.43685001426</v>
      </c>
      <c r="X52" s="302">
        <f t="shared" si="4"/>
        <v>2466.1114461165512</v>
      </c>
      <c r="Y52" s="324">
        <f t="shared" si="5"/>
        <v>0.73826506447192153</v>
      </c>
    </row>
    <row r="53" spans="1:25" x14ac:dyDescent="0.25">
      <c r="A53" s="148">
        <f>Données!A53</f>
        <v>5484</v>
      </c>
      <c r="B53" s="156" t="str">
        <f>Données!B53</f>
        <v>Gollion</v>
      </c>
      <c r="C53" s="318">
        <f>Données!C53</f>
        <v>1064</v>
      </c>
      <c r="D53" s="319">
        <f>Données!D53</f>
        <v>74</v>
      </c>
      <c r="E53" s="320">
        <f>Données!E53</f>
        <v>1</v>
      </c>
      <c r="F53" s="321">
        <f>Données!F53</f>
        <v>1960655.88</v>
      </c>
      <c r="G53" s="321">
        <f>Données!G53</f>
        <v>300828.42</v>
      </c>
      <c r="H53" s="321">
        <f>Données!H53</f>
        <v>857.15</v>
      </c>
      <c r="I53" s="321">
        <f>Données!I53</f>
        <v>2745.45</v>
      </c>
      <c r="J53" s="321">
        <f>Données!J53</f>
        <v>0</v>
      </c>
      <c r="K53" s="321">
        <f>Données!K53</f>
        <v>3405.85</v>
      </c>
      <c r="L53" s="321">
        <f>Données!L53</f>
        <v>-17091.62</v>
      </c>
      <c r="M53" s="321">
        <f>Données!M53</f>
        <v>-300</v>
      </c>
      <c r="N53" s="321">
        <f>Données!N53</f>
        <v>355.64594112018329</v>
      </c>
      <c r="O53" s="321">
        <f>Données!O53</f>
        <v>214766.3</v>
      </c>
      <c r="P53" s="321">
        <f>Données!P53</f>
        <v>22142.720000000001</v>
      </c>
      <c r="Q53" s="321">
        <f>Données!Q53</f>
        <v>6883.15</v>
      </c>
      <c r="R53" s="321">
        <f>Données!R53</f>
        <v>-339.85</v>
      </c>
      <c r="S53" s="313"/>
      <c r="T53" s="302">
        <f t="shared" si="0"/>
        <v>2053203.1902638513</v>
      </c>
      <c r="U53" s="322">
        <f t="shared" si="1"/>
        <v>214766.3</v>
      </c>
      <c r="V53" s="322">
        <f t="shared" si="2"/>
        <v>28686.020000000004</v>
      </c>
      <c r="W53" s="323">
        <f t="shared" si="3"/>
        <v>2296655.5102638514</v>
      </c>
      <c r="X53" s="302">
        <f t="shared" si="4"/>
        <v>2158.5108179171534</v>
      </c>
      <c r="Y53" s="324">
        <f t="shared" si="5"/>
        <v>0.64618050034290064</v>
      </c>
    </row>
    <row r="54" spans="1:25" x14ac:dyDescent="0.25">
      <c r="A54" s="148">
        <f>Données!A54</f>
        <v>5485</v>
      </c>
      <c r="B54" s="156" t="str">
        <f>Données!B54</f>
        <v>Grancy</v>
      </c>
      <c r="C54" s="318">
        <f>Données!C54</f>
        <v>540</v>
      </c>
      <c r="D54" s="319">
        <f>Données!D54</f>
        <v>70</v>
      </c>
      <c r="E54" s="320">
        <f>Données!E54</f>
        <v>1</v>
      </c>
      <c r="F54" s="321">
        <f>Données!F54</f>
        <v>1486538.47</v>
      </c>
      <c r="G54" s="321">
        <f>Données!G54</f>
        <v>221042.37</v>
      </c>
      <c r="H54" s="321">
        <f>Données!H54</f>
        <v>16257.45</v>
      </c>
      <c r="I54" s="321">
        <f>Données!I54</f>
        <v>8745.15</v>
      </c>
      <c r="J54" s="321">
        <f>Données!J54</f>
        <v>0</v>
      </c>
      <c r="K54" s="321">
        <f>Données!K54</f>
        <v>721.08</v>
      </c>
      <c r="L54" s="321">
        <f>Données!L54</f>
        <v>-1608.69</v>
      </c>
      <c r="M54" s="321">
        <f>Données!M54</f>
        <v>0</v>
      </c>
      <c r="N54" s="321">
        <f>Données!N54</f>
        <v>2468.2377192726071</v>
      </c>
      <c r="O54" s="321">
        <f>Données!O54</f>
        <v>106710.85</v>
      </c>
      <c r="P54" s="321">
        <f>Données!P54</f>
        <v>11949.79</v>
      </c>
      <c r="Q54" s="321">
        <f>Données!Q54</f>
        <v>2031.25</v>
      </c>
      <c r="R54" s="321">
        <f>Données!R54</f>
        <v>-3350.45</v>
      </c>
      <c r="S54" s="313"/>
      <c r="T54" s="302">
        <f t="shared" si="0"/>
        <v>1671830.2525625972</v>
      </c>
      <c r="U54" s="322">
        <f t="shared" si="1"/>
        <v>106710.85</v>
      </c>
      <c r="V54" s="322">
        <f t="shared" si="2"/>
        <v>10630.59</v>
      </c>
      <c r="W54" s="323">
        <f t="shared" si="3"/>
        <v>1789171.6925625973</v>
      </c>
      <c r="X54" s="302">
        <f t="shared" si="4"/>
        <v>3313.2809121529581</v>
      </c>
      <c r="Y54" s="324">
        <f t="shared" si="5"/>
        <v>0.99187713113131803</v>
      </c>
    </row>
    <row r="55" spans="1:25" x14ac:dyDescent="0.25">
      <c r="A55" s="148">
        <f>Données!A55</f>
        <v>5486</v>
      </c>
      <c r="B55" s="156" t="str">
        <f>Données!B55</f>
        <v>L'Isle</v>
      </c>
      <c r="C55" s="318">
        <f>Données!C55</f>
        <v>1096</v>
      </c>
      <c r="D55" s="319">
        <f>Données!D55</f>
        <v>75</v>
      </c>
      <c r="E55" s="320">
        <f>Données!E55</f>
        <v>1</v>
      </c>
      <c r="F55" s="321">
        <f>Données!F55</f>
        <v>2115826.85</v>
      </c>
      <c r="G55" s="321">
        <f>Données!G55</f>
        <v>362759.93</v>
      </c>
      <c r="H55" s="321">
        <f>Données!H55</f>
        <v>33908.550000000003</v>
      </c>
      <c r="I55" s="321">
        <f>Données!I55</f>
        <v>16482.55</v>
      </c>
      <c r="J55" s="321">
        <f>Données!J55</f>
        <v>0</v>
      </c>
      <c r="K55" s="321">
        <f>Données!K55</f>
        <v>3185.17</v>
      </c>
      <c r="L55" s="321">
        <f>Données!L55</f>
        <v>-13751.9</v>
      </c>
      <c r="M55" s="321">
        <f>Données!M55</f>
        <v>0</v>
      </c>
      <c r="N55" s="321">
        <f>Données!N55</f>
        <v>4974.5711940213378</v>
      </c>
      <c r="O55" s="321">
        <f>Données!O55</f>
        <v>211183.2</v>
      </c>
      <c r="P55" s="321">
        <f>Données!P55</f>
        <v>27797.14</v>
      </c>
      <c r="Q55" s="321">
        <f>Données!Q55</f>
        <v>11654.25</v>
      </c>
      <c r="R55" s="321">
        <f>Données!R55</f>
        <v>-1738.85</v>
      </c>
      <c r="S55" s="313"/>
      <c r="T55" s="302">
        <f t="shared" si="0"/>
        <v>2270504.7473295177</v>
      </c>
      <c r="U55" s="322">
        <f t="shared" si="1"/>
        <v>211183.2</v>
      </c>
      <c r="V55" s="322">
        <f t="shared" si="2"/>
        <v>37712.54</v>
      </c>
      <c r="W55" s="323">
        <f t="shared" si="3"/>
        <v>2519400.487329518</v>
      </c>
      <c r="X55" s="302">
        <f t="shared" si="4"/>
        <v>2298.7230723809471</v>
      </c>
      <c r="Y55" s="324">
        <f t="shared" si="5"/>
        <v>0.68815500609545777</v>
      </c>
    </row>
    <row r="56" spans="1:25" x14ac:dyDescent="0.25">
      <c r="A56" s="148">
        <f>Données!A56</f>
        <v>5487</v>
      </c>
      <c r="B56" s="156" t="str">
        <f>Données!B56</f>
        <v>Lussery-Villars</v>
      </c>
      <c r="C56" s="318">
        <f>Données!C56</f>
        <v>468</v>
      </c>
      <c r="D56" s="319">
        <f>Données!D56</f>
        <v>75</v>
      </c>
      <c r="E56" s="320">
        <f>Données!E56</f>
        <v>1</v>
      </c>
      <c r="F56" s="321">
        <f>Données!F56</f>
        <v>887875.9</v>
      </c>
      <c r="G56" s="321">
        <f>Données!G56</f>
        <v>128241.13</v>
      </c>
      <c r="H56" s="321">
        <f>Données!H56</f>
        <v>6473.7</v>
      </c>
      <c r="I56" s="321">
        <f>Données!I56</f>
        <v>129.75</v>
      </c>
      <c r="J56" s="321">
        <f>Données!J56</f>
        <v>0</v>
      </c>
      <c r="K56" s="321">
        <f>Données!K56</f>
        <v>17538.34</v>
      </c>
      <c r="L56" s="321">
        <f>Données!L56</f>
        <v>-14874.42</v>
      </c>
      <c r="M56" s="321">
        <f>Données!M56</f>
        <v>0</v>
      </c>
      <c r="N56" s="321">
        <f>Données!N56</f>
        <v>651.88757838507593</v>
      </c>
      <c r="O56" s="321">
        <f>Données!O56</f>
        <v>85279.85</v>
      </c>
      <c r="P56" s="321">
        <f>Données!P56</f>
        <v>18332.07</v>
      </c>
      <c r="Q56" s="321">
        <f>Données!Q56</f>
        <v>993.25</v>
      </c>
      <c r="R56" s="321">
        <f>Données!R56</f>
        <v>0</v>
      </c>
      <c r="S56" s="313"/>
      <c r="T56" s="302">
        <f t="shared" si="0"/>
        <v>923212.1123269028</v>
      </c>
      <c r="U56" s="322">
        <f t="shared" si="1"/>
        <v>85279.85</v>
      </c>
      <c r="V56" s="322">
        <f t="shared" si="2"/>
        <v>19325.32</v>
      </c>
      <c r="W56" s="323">
        <f t="shared" si="3"/>
        <v>1027817.2823269027</v>
      </c>
      <c r="X56" s="302">
        <f t="shared" si="4"/>
        <v>2196.1907742027838</v>
      </c>
      <c r="Y56" s="324">
        <f t="shared" si="5"/>
        <v>0.65746052396077714</v>
      </c>
    </row>
    <row r="57" spans="1:25" x14ac:dyDescent="0.25">
      <c r="A57" s="148">
        <f>Données!A57</f>
        <v>5488</v>
      </c>
      <c r="B57" s="156" t="str">
        <f>Données!B57</f>
        <v>Mauraz</v>
      </c>
      <c r="C57" s="318">
        <f>Données!C57</f>
        <v>67</v>
      </c>
      <c r="D57" s="319">
        <f>Données!D57</f>
        <v>77</v>
      </c>
      <c r="E57" s="320">
        <f>Données!E57</f>
        <v>1</v>
      </c>
      <c r="F57" s="321">
        <f>Données!F57</f>
        <v>119419.17</v>
      </c>
      <c r="G57" s="321">
        <f>Données!G57</f>
        <v>15520.1</v>
      </c>
      <c r="H57" s="321">
        <f>Données!H57</f>
        <v>155.5</v>
      </c>
      <c r="I57" s="321">
        <f>Données!I57</f>
        <v>142</v>
      </c>
      <c r="J57" s="321">
        <f>Données!J57</f>
        <v>0</v>
      </c>
      <c r="K57" s="321">
        <f>Données!K57</f>
        <v>0</v>
      </c>
      <c r="L57" s="321">
        <f>Données!L57</f>
        <v>-117.49</v>
      </c>
      <c r="M57" s="321">
        <f>Données!M57</f>
        <v>0</v>
      </c>
      <c r="N57" s="321">
        <f>Données!N57</f>
        <v>29.368974485997484</v>
      </c>
      <c r="O57" s="321">
        <f>Données!O57</f>
        <v>10658</v>
      </c>
      <c r="P57" s="321">
        <f>Données!P57</f>
        <v>-309.79000000000002</v>
      </c>
      <c r="Q57" s="321">
        <f>Données!Q57</f>
        <v>0</v>
      </c>
      <c r="R57" s="321">
        <f>Données!R57</f>
        <v>0</v>
      </c>
      <c r="S57" s="313"/>
      <c r="T57" s="302">
        <f t="shared" si="0"/>
        <v>118446.16935952552</v>
      </c>
      <c r="U57" s="322">
        <f t="shared" si="1"/>
        <v>10658</v>
      </c>
      <c r="V57" s="322">
        <f t="shared" si="2"/>
        <v>-309.79000000000002</v>
      </c>
      <c r="W57" s="323">
        <f t="shared" si="3"/>
        <v>128794.37935952553</v>
      </c>
      <c r="X57" s="302">
        <f t="shared" si="4"/>
        <v>1922.304169545157</v>
      </c>
      <c r="Y57" s="324">
        <f t="shared" si="5"/>
        <v>0.57546872583503972</v>
      </c>
    </row>
    <row r="58" spans="1:25" x14ac:dyDescent="0.25">
      <c r="A58" s="148">
        <f>Données!A58</f>
        <v>5489</v>
      </c>
      <c r="B58" s="156" t="str">
        <f>Données!B58</f>
        <v>Mex</v>
      </c>
      <c r="C58" s="318">
        <f>Données!C58</f>
        <v>809</v>
      </c>
      <c r="D58" s="319">
        <f>Données!D58</f>
        <v>59.5</v>
      </c>
      <c r="E58" s="320">
        <f>Données!E58</f>
        <v>1</v>
      </c>
      <c r="F58" s="321">
        <f>Données!F58</f>
        <v>1928136.38</v>
      </c>
      <c r="G58" s="321">
        <f>Données!G58</f>
        <v>736308.32</v>
      </c>
      <c r="H58" s="321">
        <f>Données!H58</f>
        <v>1000720.1000000001</v>
      </c>
      <c r="I58" s="321">
        <f>Données!I58</f>
        <v>7845.2</v>
      </c>
      <c r="J58" s="321">
        <f>Données!J58</f>
        <v>0</v>
      </c>
      <c r="K58" s="321">
        <f>Données!K58</f>
        <v>4459.1400000000003</v>
      </c>
      <c r="L58" s="321">
        <f>Données!L58</f>
        <v>-13111.91</v>
      </c>
      <c r="M58" s="321">
        <f>Données!M58</f>
        <v>-316</v>
      </c>
      <c r="N58" s="321">
        <f>Données!N58</f>
        <v>99564.801892982854</v>
      </c>
      <c r="O58" s="321">
        <f>Données!O58</f>
        <v>311406.90000000002</v>
      </c>
      <c r="P58" s="321">
        <f>Données!P58</f>
        <v>27761.9</v>
      </c>
      <c r="Q58" s="321">
        <f>Données!Q58</f>
        <v>9590.5</v>
      </c>
      <c r="R58" s="321">
        <f>Données!R58</f>
        <v>-337.25</v>
      </c>
      <c r="S58" s="313"/>
      <c r="T58" s="302">
        <f t="shared" si="0"/>
        <v>4268617.3633745788</v>
      </c>
      <c r="U58" s="322">
        <f t="shared" si="1"/>
        <v>311406.90000000002</v>
      </c>
      <c r="V58" s="322">
        <f t="shared" si="2"/>
        <v>37015.15</v>
      </c>
      <c r="W58" s="323">
        <f t="shared" si="3"/>
        <v>4617039.4133745795</v>
      </c>
      <c r="X58" s="302">
        <f t="shared" si="4"/>
        <v>5707.0944541094923</v>
      </c>
      <c r="Y58" s="324">
        <f t="shared" si="5"/>
        <v>1.7084988035497577</v>
      </c>
    </row>
    <row r="59" spans="1:25" x14ac:dyDescent="0.25">
      <c r="A59" s="148">
        <f>Données!A59</f>
        <v>5490</v>
      </c>
      <c r="B59" s="156" t="str">
        <f>Données!B59</f>
        <v>Moiry</v>
      </c>
      <c r="C59" s="318">
        <f>Données!C59</f>
        <v>299</v>
      </c>
      <c r="D59" s="319">
        <f>Données!D59</f>
        <v>76</v>
      </c>
      <c r="E59" s="320">
        <f>Données!E59</f>
        <v>1</v>
      </c>
      <c r="F59" s="321">
        <f>Données!F59</f>
        <v>460764.66</v>
      </c>
      <c r="G59" s="321">
        <f>Données!G59</f>
        <v>81708.649999999994</v>
      </c>
      <c r="H59" s="321">
        <f>Données!H59</f>
        <v>23135.55</v>
      </c>
      <c r="I59" s="321">
        <f>Données!I59</f>
        <v>38.75</v>
      </c>
      <c r="J59" s="321">
        <f>Données!J59</f>
        <v>0</v>
      </c>
      <c r="K59" s="321">
        <f>Données!K59</f>
        <v>8010.98</v>
      </c>
      <c r="L59" s="321">
        <f>Données!L59</f>
        <v>-20687.330000000002</v>
      </c>
      <c r="M59" s="321">
        <f>Données!M59</f>
        <v>0</v>
      </c>
      <c r="N59" s="321">
        <f>Données!N59</f>
        <v>2287.7493291793326</v>
      </c>
      <c r="O59" s="321">
        <f>Données!O59</f>
        <v>49288.5</v>
      </c>
      <c r="P59" s="321">
        <f>Données!P59</f>
        <v>10081.25</v>
      </c>
      <c r="Q59" s="321">
        <f>Données!Q59</f>
        <v>0</v>
      </c>
      <c r="R59" s="321">
        <f>Données!R59</f>
        <v>0</v>
      </c>
      <c r="S59" s="313"/>
      <c r="T59" s="302">
        <f t="shared" si="0"/>
        <v>493039.890272027</v>
      </c>
      <c r="U59" s="322">
        <f t="shared" si="1"/>
        <v>49288.5</v>
      </c>
      <c r="V59" s="322">
        <f t="shared" si="2"/>
        <v>10081.25</v>
      </c>
      <c r="W59" s="323">
        <f t="shared" si="3"/>
        <v>552409.640272027</v>
      </c>
      <c r="X59" s="302">
        <f t="shared" si="4"/>
        <v>1847.5238805084516</v>
      </c>
      <c r="Y59" s="324">
        <f t="shared" si="5"/>
        <v>0.55308219703730466</v>
      </c>
    </row>
    <row r="60" spans="1:25" x14ac:dyDescent="0.25">
      <c r="A60" s="148">
        <f>Données!A60</f>
        <v>5491</v>
      </c>
      <c r="B60" s="156" t="str">
        <f>Données!B60</f>
        <v>Mont-la-Ville</v>
      </c>
      <c r="C60" s="318">
        <f>Données!C60</f>
        <v>495</v>
      </c>
      <c r="D60" s="319">
        <f>Données!D60</f>
        <v>76</v>
      </c>
      <c r="E60" s="320">
        <f>Données!E60</f>
        <v>1</v>
      </c>
      <c r="F60" s="321">
        <f>Données!F60</f>
        <v>808216.41</v>
      </c>
      <c r="G60" s="321">
        <f>Données!G60</f>
        <v>111602.61</v>
      </c>
      <c r="H60" s="321">
        <f>Données!H60</f>
        <v>-2601.5500000000002</v>
      </c>
      <c r="I60" s="321">
        <f>Données!I60</f>
        <v>2884.6</v>
      </c>
      <c r="J60" s="321">
        <f>Données!J60</f>
        <v>0</v>
      </c>
      <c r="K60" s="321">
        <f>Données!K60</f>
        <v>35030.28</v>
      </c>
      <c r="L60" s="321">
        <f>Données!L60</f>
        <v>-490.67</v>
      </c>
      <c r="M60" s="321">
        <f>Données!M60</f>
        <v>0</v>
      </c>
      <c r="N60" s="321">
        <f>Données!N60</f>
        <v>27.942481439534721</v>
      </c>
      <c r="O60" s="321">
        <f>Données!O60</f>
        <v>95817.9</v>
      </c>
      <c r="P60" s="321">
        <f>Données!P60</f>
        <v>15056.83</v>
      </c>
      <c r="Q60" s="321">
        <f>Données!Q60</f>
        <v>425</v>
      </c>
      <c r="R60" s="321">
        <f>Données!R60</f>
        <v>-99.15</v>
      </c>
      <c r="S60" s="313"/>
      <c r="T60" s="302">
        <f t="shared" si="0"/>
        <v>847694.85592487291</v>
      </c>
      <c r="U60" s="322">
        <f t="shared" si="1"/>
        <v>95817.9</v>
      </c>
      <c r="V60" s="322">
        <f t="shared" si="2"/>
        <v>15382.68</v>
      </c>
      <c r="W60" s="323">
        <f t="shared" si="3"/>
        <v>958895.43592487299</v>
      </c>
      <c r="X60" s="302">
        <f t="shared" si="4"/>
        <v>1937.1624968179253</v>
      </c>
      <c r="Y60" s="324">
        <f t="shared" si="5"/>
        <v>0.57991677458776303</v>
      </c>
    </row>
    <row r="61" spans="1:25" x14ac:dyDescent="0.25">
      <c r="A61" s="148">
        <f>Données!A61</f>
        <v>5492</v>
      </c>
      <c r="B61" s="156" t="str">
        <f>Données!B61</f>
        <v>Montricher</v>
      </c>
      <c r="C61" s="318">
        <f>Données!C61</f>
        <v>943</v>
      </c>
      <c r="D61" s="319">
        <f>Données!D61</f>
        <v>64</v>
      </c>
      <c r="E61" s="320">
        <f>Données!E61</f>
        <v>0.3</v>
      </c>
      <c r="F61" s="321">
        <f>Données!F61</f>
        <v>6802789.5099999998</v>
      </c>
      <c r="G61" s="321">
        <f>Données!G61</f>
        <v>5543097.3600000003</v>
      </c>
      <c r="H61" s="321">
        <f>Données!H61</f>
        <v>49633.55</v>
      </c>
      <c r="I61" s="321">
        <f>Données!I61</f>
        <v>2953.2</v>
      </c>
      <c r="J61" s="321">
        <f>Données!J61</f>
        <v>0</v>
      </c>
      <c r="K61" s="321">
        <f>Données!K61</f>
        <v>6079.59</v>
      </c>
      <c r="L61" s="321">
        <f>Données!L61</f>
        <v>-23429.119999999999</v>
      </c>
      <c r="M61" s="321">
        <f>Données!M61</f>
        <v>-879</v>
      </c>
      <c r="N61" s="321">
        <f>Données!N61</f>
        <v>5191.3240976521956</v>
      </c>
      <c r="O61" s="321">
        <f>Données!O61</f>
        <v>76556.55</v>
      </c>
      <c r="P61" s="321">
        <f>Données!P61</f>
        <v>42243.24</v>
      </c>
      <c r="Q61" s="321">
        <f>Données!Q61</f>
        <v>5630.8</v>
      </c>
      <c r="R61" s="321">
        <f>Données!R61</f>
        <v>-7370.65</v>
      </c>
      <c r="S61" s="313"/>
      <c r="T61" s="302">
        <f t="shared" si="0"/>
        <v>13059645.144383891</v>
      </c>
      <c r="U61" s="322">
        <f t="shared" si="1"/>
        <v>255188.50000000003</v>
      </c>
      <c r="V61" s="322">
        <f t="shared" si="2"/>
        <v>40503.39</v>
      </c>
      <c r="W61" s="323">
        <f t="shared" si="3"/>
        <v>13355337.034383891</v>
      </c>
      <c r="X61" s="302">
        <f t="shared" si="4"/>
        <v>14162.605550778251</v>
      </c>
      <c r="Y61" s="324">
        <f t="shared" si="5"/>
        <v>4.2397746932729454</v>
      </c>
    </row>
    <row r="62" spans="1:25" x14ac:dyDescent="0.25">
      <c r="A62" s="148">
        <f>Données!A62</f>
        <v>5493</v>
      </c>
      <c r="B62" s="156" t="str">
        <f>Données!B62</f>
        <v>Orny</v>
      </c>
      <c r="C62" s="318">
        <f>Données!C62</f>
        <v>497</v>
      </c>
      <c r="D62" s="319">
        <f>Données!D62</f>
        <v>73</v>
      </c>
      <c r="E62" s="320">
        <f>Données!E62</f>
        <v>0.65</v>
      </c>
      <c r="F62" s="321">
        <f>Données!F62</f>
        <v>867805.57</v>
      </c>
      <c r="G62" s="321">
        <f>Données!G62</f>
        <v>135726.70000000001</v>
      </c>
      <c r="H62" s="321">
        <f>Données!H62</f>
        <v>57828.6</v>
      </c>
      <c r="I62" s="321">
        <f>Données!I62</f>
        <v>1292.45</v>
      </c>
      <c r="J62" s="321">
        <f>Données!J62</f>
        <v>0</v>
      </c>
      <c r="K62" s="321">
        <f>Données!K62</f>
        <v>9252.0300000000007</v>
      </c>
      <c r="L62" s="321">
        <f>Données!L62</f>
        <v>-8637.16</v>
      </c>
      <c r="M62" s="321">
        <f>Données!M62</f>
        <v>0</v>
      </c>
      <c r="N62" s="321">
        <f>Données!N62</f>
        <v>5836.3852404550635</v>
      </c>
      <c r="O62" s="321">
        <f>Données!O62</f>
        <v>55254.9</v>
      </c>
      <c r="P62" s="321">
        <f>Données!P62</f>
        <v>21034.01</v>
      </c>
      <c r="Q62" s="321">
        <f>Données!Q62</f>
        <v>3791.05</v>
      </c>
      <c r="R62" s="321">
        <f>Données!R62</f>
        <v>-1978.64</v>
      </c>
      <c r="S62" s="313"/>
      <c r="T62" s="302">
        <f t="shared" si="0"/>
        <v>988319.50037116499</v>
      </c>
      <c r="U62" s="322">
        <f t="shared" si="1"/>
        <v>85007.538461538454</v>
      </c>
      <c r="V62" s="322">
        <f t="shared" si="2"/>
        <v>22846.42</v>
      </c>
      <c r="W62" s="323">
        <f t="shared" si="3"/>
        <v>1096173.4588327033</v>
      </c>
      <c r="X62" s="302">
        <f t="shared" si="4"/>
        <v>2205.5804000658013</v>
      </c>
      <c r="Y62" s="324">
        <f t="shared" si="5"/>
        <v>0.6602714402127754</v>
      </c>
    </row>
    <row r="63" spans="1:25" x14ac:dyDescent="0.25">
      <c r="A63" s="148">
        <f>Données!A63</f>
        <v>5495</v>
      </c>
      <c r="B63" s="156" t="str">
        <f>Données!B63</f>
        <v>Penthalaz</v>
      </c>
      <c r="C63" s="318">
        <f>Données!C63</f>
        <v>3177</v>
      </c>
      <c r="D63" s="319">
        <f>Données!D63</f>
        <v>72.5</v>
      </c>
      <c r="E63" s="320">
        <f>Données!E63</f>
        <v>1</v>
      </c>
      <c r="F63" s="321">
        <f>Données!F63</f>
        <v>5347643.9800000004</v>
      </c>
      <c r="G63" s="321">
        <f>Données!G63</f>
        <v>647359.04</v>
      </c>
      <c r="H63" s="321">
        <f>Données!H63</f>
        <v>115039.35</v>
      </c>
      <c r="I63" s="321">
        <f>Données!I63</f>
        <v>10891.4</v>
      </c>
      <c r="J63" s="321">
        <f>Données!J63</f>
        <v>100147.7</v>
      </c>
      <c r="K63" s="321">
        <f>Données!K63</f>
        <v>29114.47</v>
      </c>
      <c r="L63" s="321">
        <f>Données!L63</f>
        <v>-94057.97</v>
      </c>
      <c r="M63" s="321">
        <f>Données!M63</f>
        <v>-23050</v>
      </c>
      <c r="N63" s="321">
        <f>Données!N63</f>
        <v>12431.788180680765</v>
      </c>
      <c r="O63" s="321">
        <f>Données!O63</f>
        <v>545636.19999999995</v>
      </c>
      <c r="P63" s="321">
        <f>Données!P63</f>
        <v>192035.45</v>
      </c>
      <c r="Q63" s="321">
        <f>Données!Q63</f>
        <v>99419.65</v>
      </c>
      <c r="R63" s="321">
        <f>Données!R63</f>
        <v>-198.5</v>
      </c>
      <c r="S63" s="313"/>
      <c r="T63" s="302">
        <f t="shared" si="0"/>
        <v>5720324.2788918139</v>
      </c>
      <c r="U63" s="322">
        <f t="shared" si="1"/>
        <v>545636.19999999995</v>
      </c>
      <c r="V63" s="322">
        <f t="shared" si="2"/>
        <v>291256.59999999998</v>
      </c>
      <c r="W63" s="323">
        <f t="shared" si="3"/>
        <v>6557217.0788918138</v>
      </c>
      <c r="X63" s="302">
        <f t="shared" si="4"/>
        <v>2063.9650862108319</v>
      </c>
      <c r="Y63" s="324">
        <f t="shared" si="5"/>
        <v>0.61787690894453628</v>
      </c>
    </row>
    <row r="64" spans="1:25" x14ac:dyDescent="0.25">
      <c r="A64" s="148">
        <f>Données!A64</f>
        <v>5496</v>
      </c>
      <c r="B64" s="156" t="str">
        <f>Données!B64</f>
        <v>Penthaz</v>
      </c>
      <c r="C64" s="318">
        <f>Données!C64</f>
        <v>1946</v>
      </c>
      <c r="D64" s="319">
        <f>Données!D64</f>
        <v>69.5</v>
      </c>
      <c r="E64" s="320">
        <f>Données!E64</f>
        <v>1</v>
      </c>
      <c r="F64" s="321">
        <f>Données!F64</f>
        <v>3470732.33</v>
      </c>
      <c r="G64" s="321">
        <f>Données!G64</f>
        <v>361360.94</v>
      </c>
      <c r="H64" s="321">
        <f>Données!H64</f>
        <v>106613.25</v>
      </c>
      <c r="I64" s="321">
        <f>Données!I64</f>
        <v>17801.8</v>
      </c>
      <c r="J64" s="321">
        <f>Données!J64</f>
        <v>0</v>
      </c>
      <c r="K64" s="321">
        <f>Données!K64</f>
        <v>15184.16</v>
      </c>
      <c r="L64" s="321">
        <f>Données!L64</f>
        <v>-69168.78</v>
      </c>
      <c r="M64" s="321">
        <f>Données!M64</f>
        <v>0</v>
      </c>
      <c r="N64" s="321">
        <f>Données!N64</f>
        <v>12282.159425627231</v>
      </c>
      <c r="O64" s="321">
        <f>Données!O64</f>
        <v>383756.79999999999</v>
      </c>
      <c r="P64" s="321">
        <f>Données!P64</f>
        <v>83816.800000000003</v>
      </c>
      <c r="Q64" s="321">
        <f>Données!Q64</f>
        <v>26336.6</v>
      </c>
      <c r="R64" s="321">
        <f>Données!R64</f>
        <v>-518.25</v>
      </c>
      <c r="S64" s="313"/>
      <c r="T64" s="302">
        <f t="shared" si="0"/>
        <v>3801241.4956703857</v>
      </c>
      <c r="U64" s="322">
        <f t="shared" si="1"/>
        <v>383756.79999999999</v>
      </c>
      <c r="V64" s="322">
        <f t="shared" si="2"/>
        <v>109635.15</v>
      </c>
      <c r="W64" s="323">
        <f t="shared" si="3"/>
        <v>4294633.4456703858</v>
      </c>
      <c r="X64" s="302">
        <f t="shared" si="4"/>
        <v>2206.9031067165397</v>
      </c>
      <c r="Y64" s="324">
        <f t="shared" si="5"/>
        <v>0.6606674110081433</v>
      </c>
    </row>
    <row r="65" spans="1:25" x14ac:dyDescent="0.25">
      <c r="A65" s="148">
        <f>Données!A65</f>
        <v>5497</v>
      </c>
      <c r="B65" s="156" t="str">
        <f>Données!B65</f>
        <v>Pompaples</v>
      </c>
      <c r="C65" s="318">
        <f>Données!C65</f>
        <v>930</v>
      </c>
      <c r="D65" s="319">
        <f>Données!D65</f>
        <v>66</v>
      </c>
      <c r="E65" s="320">
        <f>Données!E65</f>
        <v>1</v>
      </c>
      <c r="F65" s="321">
        <f>Données!F65</f>
        <v>1364562.68</v>
      </c>
      <c r="G65" s="321">
        <f>Données!G65</f>
        <v>141243.59</v>
      </c>
      <c r="H65" s="321">
        <f>Données!H65</f>
        <v>182404.6</v>
      </c>
      <c r="I65" s="321">
        <f>Données!I65</f>
        <v>2114.9499999999998</v>
      </c>
      <c r="J65" s="321">
        <f>Données!J65</f>
        <v>0</v>
      </c>
      <c r="K65" s="321">
        <f>Données!K65</f>
        <v>9432.6</v>
      </c>
      <c r="L65" s="321">
        <f>Données!L65</f>
        <v>-24720.62</v>
      </c>
      <c r="M65" s="321">
        <f>Données!M65</f>
        <v>0</v>
      </c>
      <c r="N65" s="321">
        <f>Données!N65</f>
        <v>18215.630104597436</v>
      </c>
      <c r="O65" s="321">
        <f>Données!O65</f>
        <v>142877.65</v>
      </c>
      <c r="P65" s="321">
        <f>Données!P65</f>
        <v>92621.04</v>
      </c>
      <c r="Q65" s="321">
        <f>Données!Q65</f>
        <v>4323.2</v>
      </c>
      <c r="R65" s="321">
        <f>Données!R65</f>
        <v>-113.15</v>
      </c>
      <c r="S65" s="313"/>
      <c r="T65" s="302">
        <f t="shared" si="0"/>
        <v>1731322.8662271034</v>
      </c>
      <c r="U65" s="322">
        <f t="shared" si="1"/>
        <v>142877.65</v>
      </c>
      <c r="V65" s="322">
        <f t="shared" si="2"/>
        <v>96831.09</v>
      </c>
      <c r="W65" s="323">
        <f t="shared" si="3"/>
        <v>1971031.6062271034</v>
      </c>
      <c r="X65" s="302">
        <f t="shared" si="4"/>
        <v>2119.3888239001112</v>
      </c>
      <c r="Y65" s="324">
        <f t="shared" si="5"/>
        <v>0.6344687824962707</v>
      </c>
    </row>
    <row r="66" spans="1:25" x14ac:dyDescent="0.25">
      <c r="A66" s="148">
        <f>Données!A66</f>
        <v>5498</v>
      </c>
      <c r="B66" s="156" t="str">
        <f>Données!B66</f>
        <v>La Sarraz</v>
      </c>
      <c r="C66" s="318">
        <f>Données!C66</f>
        <v>2618</v>
      </c>
      <c r="D66" s="319">
        <f>Données!D66</f>
        <v>70</v>
      </c>
      <c r="E66" s="320">
        <f>Données!E66</f>
        <v>1</v>
      </c>
      <c r="F66" s="321">
        <f>Données!F66</f>
        <v>4069549.72</v>
      </c>
      <c r="G66" s="321">
        <f>Données!G66</f>
        <v>524217.21</v>
      </c>
      <c r="H66" s="321">
        <f>Données!H66</f>
        <v>142365.70000000001</v>
      </c>
      <c r="I66" s="321">
        <f>Données!I66</f>
        <v>14697.85</v>
      </c>
      <c r="J66" s="321">
        <f>Données!J66</f>
        <v>0</v>
      </c>
      <c r="K66" s="321">
        <f>Données!K66</f>
        <v>48856.29</v>
      </c>
      <c r="L66" s="321">
        <f>Données!L66</f>
        <v>-72552.09</v>
      </c>
      <c r="M66" s="321">
        <f>Données!M66</f>
        <v>-3100</v>
      </c>
      <c r="N66" s="321">
        <f>Données!N66</f>
        <v>15505.194597076272</v>
      </c>
      <c r="O66" s="321">
        <f>Données!O66</f>
        <v>425606.7</v>
      </c>
      <c r="P66" s="321">
        <f>Données!P66</f>
        <v>145301.63</v>
      </c>
      <c r="Q66" s="321">
        <f>Données!Q66</f>
        <v>48765.8</v>
      </c>
      <c r="R66" s="321">
        <f>Données!R66</f>
        <v>-114.7</v>
      </c>
      <c r="S66" s="313"/>
      <c r="T66" s="302">
        <f t="shared" si="0"/>
        <v>4569179.0604329519</v>
      </c>
      <c r="U66" s="322">
        <f t="shared" si="1"/>
        <v>425606.7</v>
      </c>
      <c r="V66" s="322">
        <f t="shared" si="2"/>
        <v>193952.72999999998</v>
      </c>
      <c r="W66" s="323">
        <f t="shared" si="3"/>
        <v>5188738.4904329516</v>
      </c>
      <c r="X66" s="302">
        <f t="shared" si="4"/>
        <v>1981.9474753372619</v>
      </c>
      <c r="Y66" s="324">
        <f t="shared" si="5"/>
        <v>0.59332378630494109</v>
      </c>
    </row>
    <row r="67" spans="1:25" x14ac:dyDescent="0.25">
      <c r="A67" s="148">
        <f>Données!A67</f>
        <v>5499</v>
      </c>
      <c r="B67" s="156" t="str">
        <f>Données!B67</f>
        <v>Senarclens</v>
      </c>
      <c r="C67" s="318">
        <f>Données!C67</f>
        <v>480</v>
      </c>
      <c r="D67" s="319">
        <f>Données!D67</f>
        <v>68.5</v>
      </c>
      <c r="E67" s="320">
        <f>Données!E67</f>
        <v>1</v>
      </c>
      <c r="F67" s="321">
        <f>Données!F67</f>
        <v>1076317.01</v>
      </c>
      <c r="G67" s="321">
        <f>Données!G67</f>
        <v>248805.52</v>
      </c>
      <c r="H67" s="321">
        <f>Données!H67</f>
        <v>8581.15</v>
      </c>
      <c r="I67" s="321">
        <f>Données!I67</f>
        <v>1609.55</v>
      </c>
      <c r="J67" s="321">
        <f>Données!J67</f>
        <v>0</v>
      </c>
      <c r="K67" s="321">
        <f>Données!K67</f>
        <v>2.23</v>
      </c>
      <c r="L67" s="321">
        <f>Données!L67</f>
        <v>-3415.39</v>
      </c>
      <c r="M67" s="321">
        <f>Données!M67</f>
        <v>0</v>
      </c>
      <c r="N67" s="321">
        <f>Données!N67</f>
        <v>1006.0181791410237</v>
      </c>
      <c r="O67" s="321">
        <f>Données!O67</f>
        <v>109606.1</v>
      </c>
      <c r="P67" s="321">
        <f>Données!P67</f>
        <v>7108.46</v>
      </c>
      <c r="Q67" s="321">
        <f>Données!Q67</f>
        <v>0</v>
      </c>
      <c r="R67" s="321">
        <f>Données!R67</f>
        <v>-1776</v>
      </c>
      <c r="S67" s="313"/>
      <c r="T67" s="302">
        <f t="shared" si="0"/>
        <v>1313133.9100793973</v>
      </c>
      <c r="U67" s="322">
        <f t="shared" si="1"/>
        <v>109606.1</v>
      </c>
      <c r="V67" s="322">
        <f t="shared" si="2"/>
        <v>5332.46</v>
      </c>
      <c r="W67" s="323">
        <f t="shared" si="3"/>
        <v>1428072.4700793973</v>
      </c>
      <c r="X67" s="302">
        <f t="shared" si="4"/>
        <v>2975.1509793320779</v>
      </c>
      <c r="Y67" s="324">
        <f t="shared" si="5"/>
        <v>0.89065319129397136</v>
      </c>
    </row>
    <row r="68" spans="1:25" x14ac:dyDescent="0.25">
      <c r="A68" s="148">
        <f>Données!A68</f>
        <v>5501</v>
      </c>
      <c r="B68" s="156" t="str">
        <f>Données!B68</f>
        <v>Sullens</v>
      </c>
      <c r="C68" s="318">
        <f>Données!C68</f>
        <v>1225</v>
      </c>
      <c r="D68" s="319">
        <f>Données!D68</f>
        <v>64</v>
      </c>
      <c r="E68" s="320">
        <f>Données!E68</f>
        <v>1</v>
      </c>
      <c r="F68" s="321">
        <f>Données!F68</f>
        <v>2833202.67</v>
      </c>
      <c r="G68" s="321">
        <f>Données!G68</f>
        <v>426492.26</v>
      </c>
      <c r="H68" s="321">
        <f>Données!H68</f>
        <v>114274.45</v>
      </c>
      <c r="I68" s="321">
        <f>Données!I68</f>
        <v>2774.35</v>
      </c>
      <c r="J68" s="321">
        <f>Données!J68</f>
        <v>0</v>
      </c>
      <c r="K68" s="321">
        <f>Données!K68</f>
        <v>293.48</v>
      </c>
      <c r="L68" s="321">
        <f>Données!L68</f>
        <v>-12826.39</v>
      </c>
      <c r="M68" s="321">
        <f>Données!M68</f>
        <v>0</v>
      </c>
      <c r="N68" s="321">
        <f>Données!N68</f>
        <v>11554.968809467638</v>
      </c>
      <c r="O68" s="321">
        <f>Données!O68</f>
        <v>284880.5</v>
      </c>
      <c r="P68" s="321">
        <f>Données!P68</f>
        <v>38253.9</v>
      </c>
      <c r="Q68" s="321">
        <f>Données!Q68</f>
        <v>0</v>
      </c>
      <c r="R68" s="321">
        <f>Données!R68</f>
        <v>-2592.9</v>
      </c>
      <c r="S68" s="313"/>
      <c r="T68" s="302">
        <f t="shared" si="0"/>
        <v>3559527.6434685686</v>
      </c>
      <c r="U68" s="322">
        <f t="shared" si="1"/>
        <v>284880.5</v>
      </c>
      <c r="V68" s="322">
        <f t="shared" si="2"/>
        <v>35661</v>
      </c>
      <c r="W68" s="323">
        <f t="shared" si="3"/>
        <v>3880069.1434685686</v>
      </c>
      <c r="X68" s="302">
        <f t="shared" si="4"/>
        <v>3167.4033824233211</v>
      </c>
      <c r="Y68" s="324">
        <f t="shared" si="5"/>
        <v>0.94820664573600177</v>
      </c>
    </row>
    <row r="69" spans="1:25" x14ac:dyDescent="0.25">
      <c r="A69" s="148">
        <f>Données!A69</f>
        <v>5503</v>
      </c>
      <c r="B69" s="156" t="str">
        <f>Données!B69</f>
        <v>Vufflens-la-Ville</v>
      </c>
      <c r="C69" s="318">
        <f>Données!C69</f>
        <v>1342</v>
      </c>
      <c r="D69" s="319">
        <f>Données!D69</f>
        <v>67</v>
      </c>
      <c r="E69" s="320">
        <f>Données!E69</f>
        <v>1.2</v>
      </c>
      <c r="F69" s="321">
        <f>Données!F69</f>
        <v>3228953.6799999997</v>
      </c>
      <c r="G69" s="321">
        <f>Données!G69</f>
        <v>475280.26</v>
      </c>
      <c r="H69" s="321">
        <f>Données!H69</f>
        <v>738862.89999999991</v>
      </c>
      <c r="I69" s="321">
        <f>Données!I69</f>
        <v>1547.25</v>
      </c>
      <c r="J69" s="321">
        <f>Données!J69</f>
        <v>0</v>
      </c>
      <c r="K69" s="321">
        <f>Données!K69</f>
        <v>7835.63</v>
      </c>
      <c r="L69" s="321">
        <f>Données!L69</f>
        <v>-24694.63</v>
      </c>
      <c r="M69" s="321">
        <f>Données!M69</f>
        <v>-700</v>
      </c>
      <c r="N69" s="321">
        <f>Données!N69</f>
        <v>73092.728754701064</v>
      </c>
      <c r="O69" s="321">
        <f>Données!O69</f>
        <v>611892.19999999995</v>
      </c>
      <c r="P69" s="321">
        <f>Données!P69</f>
        <v>44038.65</v>
      </c>
      <c r="Q69" s="321">
        <f>Données!Q69</f>
        <v>65974.850000000006</v>
      </c>
      <c r="R69" s="321">
        <f>Données!R69</f>
        <v>-3520.65</v>
      </c>
      <c r="S69" s="313"/>
      <c r="T69" s="302">
        <f t="shared" si="0"/>
        <v>4532678.4220354855</v>
      </c>
      <c r="U69" s="322">
        <f t="shared" si="1"/>
        <v>509910.16666666663</v>
      </c>
      <c r="V69" s="322">
        <f t="shared" si="2"/>
        <v>106492.85</v>
      </c>
      <c r="W69" s="323">
        <f t="shared" si="3"/>
        <v>5149081.4387021521</v>
      </c>
      <c r="X69" s="302">
        <f t="shared" si="4"/>
        <v>3836.8714148302179</v>
      </c>
      <c r="Y69" s="324">
        <f t="shared" si="5"/>
        <v>1.1486212948326873</v>
      </c>
    </row>
    <row r="70" spans="1:25" x14ac:dyDescent="0.25">
      <c r="A70" s="148">
        <f>Données!A70</f>
        <v>5511</v>
      </c>
      <c r="B70" s="156" t="str">
        <f>Données!B70</f>
        <v>Assens</v>
      </c>
      <c r="C70" s="318">
        <f>Données!C70</f>
        <v>1711</v>
      </c>
      <c r="D70" s="319">
        <f>Données!D70</f>
        <v>70</v>
      </c>
      <c r="E70" s="320">
        <f>Données!E70</f>
        <v>1</v>
      </c>
      <c r="F70" s="321">
        <f>Données!F70</f>
        <v>3395283.31</v>
      </c>
      <c r="G70" s="321">
        <f>Données!G70</f>
        <v>641777.27</v>
      </c>
      <c r="H70" s="321">
        <f>Données!H70</f>
        <v>320295.45</v>
      </c>
      <c r="I70" s="321">
        <f>Données!I70</f>
        <v>26110.45</v>
      </c>
      <c r="J70" s="321">
        <f>Données!J70</f>
        <v>0</v>
      </c>
      <c r="K70" s="321">
        <f>Données!K70</f>
        <v>25272.78</v>
      </c>
      <c r="L70" s="321">
        <f>Données!L70</f>
        <v>-63529.25</v>
      </c>
      <c r="M70" s="321">
        <f>Données!M70</f>
        <v>0</v>
      </c>
      <c r="N70" s="321">
        <f>Données!N70</f>
        <v>34196.927861845368</v>
      </c>
      <c r="O70" s="321">
        <f>Données!O70</f>
        <v>412608.45</v>
      </c>
      <c r="P70" s="321">
        <f>Données!P70</f>
        <v>77736.639999999999</v>
      </c>
      <c r="Q70" s="321">
        <f>Données!Q70</f>
        <v>18849.3</v>
      </c>
      <c r="R70" s="321">
        <f>Données!R70</f>
        <v>-57.15</v>
      </c>
      <c r="S70" s="313"/>
      <c r="T70" s="302">
        <f t="shared" si="0"/>
        <v>4221990.9541945308</v>
      </c>
      <c r="U70" s="322">
        <f t="shared" si="1"/>
        <v>412608.45</v>
      </c>
      <c r="V70" s="322">
        <f t="shared" si="2"/>
        <v>96528.790000000008</v>
      </c>
      <c r="W70" s="323">
        <f t="shared" si="3"/>
        <v>4731128.1941945311</v>
      </c>
      <c r="X70" s="302">
        <f t="shared" si="4"/>
        <v>2765.1246021008365</v>
      </c>
      <c r="Y70" s="324">
        <f t="shared" si="5"/>
        <v>0.82777884829880954</v>
      </c>
    </row>
    <row r="71" spans="1:25" x14ac:dyDescent="0.25">
      <c r="A71" s="148">
        <f>Données!A71</f>
        <v>5512</v>
      </c>
      <c r="B71" s="156" t="str">
        <f>Données!B71</f>
        <v>Bercher</v>
      </c>
      <c r="C71" s="318">
        <f>Données!C71</f>
        <v>1344</v>
      </c>
      <c r="D71" s="319">
        <f>Données!D71</f>
        <v>79</v>
      </c>
      <c r="E71" s="320">
        <f>Données!E71</f>
        <v>1</v>
      </c>
      <c r="F71" s="321">
        <f>Données!F71</f>
        <v>2408907.2999999998</v>
      </c>
      <c r="G71" s="321">
        <f>Données!G71</f>
        <v>397716.05</v>
      </c>
      <c r="H71" s="321">
        <f>Données!H71</f>
        <v>94540.7</v>
      </c>
      <c r="I71" s="321">
        <f>Données!I71</f>
        <v>-459.6</v>
      </c>
      <c r="J71" s="321">
        <f>Données!J71</f>
        <v>0</v>
      </c>
      <c r="K71" s="321">
        <f>Données!K71</f>
        <v>4599.7700000000004</v>
      </c>
      <c r="L71" s="321">
        <f>Données!L71</f>
        <v>-17606.48</v>
      </c>
      <c r="M71" s="321">
        <f>Données!M71</f>
        <v>0</v>
      </c>
      <c r="N71" s="321">
        <f>Données!N71</f>
        <v>9287.6148756792518</v>
      </c>
      <c r="O71" s="321">
        <f>Données!O71</f>
        <v>293561.8</v>
      </c>
      <c r="P71" s="321">
        <f>Données!P71</f>
        <v>51502.19</v>
      </c>
      <c r="Q71" s="321">
        <f>Données!Q71</f>
        <v>12270.15</v>
      </c>
      <c r="R71" s="321">
        <f>Données!R71</f>
        <v>-169.21</v>
      </c>
      <c r="S71" s="313"/>
      <c r="T71" s="302">
        <f t="shared" si="0"/>
        <v>2474681.1193709527</v>
      </c>
      <c r="U71" s="322">
        <f t="shared" si="1"/>
        <v>293561.8</v>
      </c>
      <c r="V71" s="322">
        <f t="shared" si="2"/>
        <v>63603.130000000005</v>
      </c>
      <c r="W71" s="323">
        <f t="shared" si="3"/>
        <v>2831846.0493709524</v>
      </c>
      <c r="X71" s="302">
        <f t="shared" si="4"/>
        <v>2107.0283105438634</v>
      </c>
      <c r="Y71" s="324">
        <f t="shared" si="5"/>
        <v>0.63076848938736585</v>
      </c>
    </row>
    <row r="72" spans="1:25" x14ac:dyDescent="0.25">
      <c r="A72" s="148">
        <f>Données!A72</f>
        <v>5514</v>
      </c>
      <c r="B72" s="156" t="str">
        <f>Données!B72</f>
        <v>Bottens</v>
      </c>
      <c r="C72" s="318">
        <f>Données!C72</f>
        <v>1358</v>
      </c>
      <c r="D72" s="319">
        <f>Données!D72</f>
        <v>72.5</v>
      </c>
      <c r="E72" s="320">
        <f>Données!E72</f>
        <v>1</v>
      </c>
      <c r="F72" s="321">
        <f>Données!F72</f>
        <v>2477076.7200000002</v>
      </c>
      <c r="G72" s="321">
        <f>Données!G72</f>
        <v>456022.45</v>
      </c>
      <c r="H72" s="321">
        <f>Données!H72</f>
        <v>24881.4</v>
      </c>
      <c r="I72" s="321">
        <f>Données!I72</f>
        <v>9562</v>
      </c>
      <c r="J72" s="321">
        <f>Données!J72</f>
        <v>60460.3</v>
      </c>
      <c r="K72" s="321">
        <f>Données!K72</f>
        <v>7701.06</v>
      </c>
      <c r="L72" s="321">
        <f>Données!L72</f>
        <v>-39493.65</v>
      </c>
      <c r="M72" s="321">
        <f>Données!M72</f>
        <v>-2650</v>
      </c>
      <c r="N72" s="321">
        <f>Données!N72</f>
        <v>3400.2263388605238</v>
      </c>
      <c r="O72" s="321">
        <f>Données!O72</f>
        <v>250689.9</v>
      </c>
      <c r="P72" s="321">
        <f>Données!P72</f>
        <v>69654.759999999995</v>
      </c>
      <c r="Q72" s="321">
        <f>Données!Q72</f>
        <v>13359.5</v>
      </c>
      <c r="R72" s="321">
        <f>Données!R72</f>
        <v>-1495</v>
      </c>
      <c r="S72" s="313"/>
      <c r="T72" s="302">
        <f t="shared" ref="T72:T135" si="6">(SUM(F72:N72)/D72*$T$4)</f>
        <v>2789607.1645476697</v>
      </c>
      <c r="U72" s="322">
        <f t="shared" ref="U72:U135" si="7">O72/E72*$U$4</f>
        <v>250689.9</v>
      </c>
      <c r="V72" s="322">
        <f t="shared" ref="V72:V135" si="8">SUM(P72:R72)</f>
        <v>81519.259999999995</v>
      </c>
      <c r="W72" s="323">
        <f t="shared" ref="W72:W135" si="9">SUM(T72:V72)</f>
        <v>3121816.3245476694</v>
      </c>
      <c r="X72" s="302">
        <f t="shared" ref="X72:X135" si="10">W72/C72</f>
        <v>2298.8338177817891</v>
      </c>
      <c r="Y72" s="324">
        <f t="shared" ref="Y72:Y135" si="11">X72/$X$308</f>
        <v>0.68818815928511645</v>
      </c>
    </row>
    <row r="73" spans="1:25" x14ac:dyDescent="0.25">
      <c r="A73" s="148">
        <f>Données!A73</f>
        <v>5515</v>
      </c>
      <c r="B73" s="156" t="str">
        <f>Données!B73</f>
        <v>Bretigny-sur-Morrens</v>
      </c>
      <c r="C73" s="318">
        <f>Données!C73</f>
        <v>898</v>
      </c>
      <c r="D73" s="319">
        <f>Données!D73</f>
        <v>78</v>
      </c>
      <c r="E73" s="320">
        <f>Données!E73</f>
        <v>1</v>
      </c>
      <c r="F73" s="321">
        <f>Données!F73</f>
        <v>2002160.68</v>
      </c>
      <c r="G73" s="321">
        <f>Données!G73</f>
        <v>239860.17</v>
      </c>
      <c r="H73" s="321">
        <f>Données!H73</f>
        <v>19611</v>
      </c>
      <c r="I73" s="321">
        <f>Données!I73</f>
        <v>26244.1</v>
      </c>
      <c r="J73" s="321">
        <f>Données!J73</f>
        <v>0</v>
      </c>
      <c r="K73" s="321">
        <f>Données!K73</f>
        <v>2966.34</v>
      </c>
      <c r="L73" s="321">
        <f>Données!L73</f>
        <v>-33293.47</v>
      </c>
      <c r="M73" s="321">
        <f>Données!M73</f>
        <v>-3650</v>
      </c>
      <c r="N73" s="321">
        <f>Données!N73</f>
        <v>4526.780712446599</v>
      </c>
      <c r="O73" s="321">
        <f>Données!O73</f>
        <v>193068.15</v>
      </c>
      <c r="P73" s="321">
        <f>Données!P73</f>
        <v>32410.52</v>
      </c>
      <c r="Q73" s="321">
        <f>Données!Q73</f>
        <v>17570.55</v>
      </c>
      <c r="R73" s="321">
        <f>Données!R73</f>
        <v>0</v>
      </c>
      <c r="S73" s="313"/>
      <c r="T73" s="302">
        <f t="shared" si="6"/>
        <v>1953939.9923772621</v>
      </c>
      <c r="U73" s="322">
        <f t="shared" si="7"/>
        <v>193068.15</v>
      </c>
      <c r="V73" s="322">
        <f t="shared" si="8"/>
        <v>49981.07</v>
      </c>
      <c r="W73" s="323">
        <f t="shared" si="9"/>
        <v>2196989.2123772618</v>
      </c>
      <c r="X73" s="302">
        <f t="shared" si="10"/>
        <v>2446.5358712441666</v>
      </c>
      <c r="Y73" s="324">
        <f t="shared" si="11"/>
        <v>0.73240484146051066</v>
      </c>
    </row>
    <row r="74" spans="1:25" x14ac:dyDescent="0.25">
      <c r="A74" s="148">
        <f>Données!A74</f>
        <v>5516</v>
      </c>
      <c r="B74" s="156" t="str">
        <f>Données!B74</f>
        <v>Cugy</v>
      </c>
      <c r="C74" s="318">
        <f>Données!C74</f>
        <v>2790</v>
      </c>
      <c r="D74" s="319">
        <f>Données!D74</f>
        <v>76</v>
      </c>
      <c r="E74" s="320">
        <f>Données!E74</f>
        <v>1.2</v>
      </c>
      <c r="F74" s="321">
        <f>Données!F74</f>
        <v>6295901.2300000004</v>
      </c>
      <c r="G74" s="321">
        <f>Données!G74</f>
        <v>1010816.1</v>
      </c>
      <c r="H74" s="321">
        <f>Données!H74</f>
        <v>378877.95</v>
      </c>
      <c r="I74" s="321">
        <f>Données!I74</f>
        <v>13414.5</v>
      </c>
      <c r="J74" s="321">
        <f>Données!J74</f>
        <v>52949.919999999998</v>
      </c>
      <c r="K74" s="321">
        <f>Données!K74</f>
        <v>20966.349999999999</v>
      </c>
      <c r="L74" s="321">
        <f>Données!L74</f>
        <v>-85372.83</v>
      </c>
      <c r="M74" s="321">
        <f>Données!M74</f>
        <v>0</v>
      </c>
      <c r="N74" s="321">
        <f>Données!N74</f>
        <v>38726.813294451909</v>
      </c>
      <c r="O74" s="321">
        <f>Données!O74</f>
        <v>728776.5</v>
      </c>
      <c r="P74" s="321">
        <f>Données!P74</f>
        <v>151434.35999999999</v>
      </c>
      <c r="Q74" s="321">
        <f>Données!Q74</f>
        <v>32478</v>
      </c>
      <c r="R74" s="321">
        <f>Données!R74</f>
        <v>-1967.7</v>
      </c>
      <c r="S74" s="313"/>
      <c r="T74" s="302">
        <f t="shared" si="6"/>
        <v>6860517.696828777</v>
      </c>
      <c r="U74" s="322">
        <f t="shared" si="7"/>
        <v>607313.75</v>
      </c>
      <c r="V74" s="322">
        <f t="shared" si="8"/>
        <v>181944.65999999997</v>
      </c>
      <c r="W74" s="323">
        <f t="shared" si="9"/>
        <v>7649776.1068287771</v>
      </c>
      <c r="X74" s="302">
        <f t="shared" si="10"/>
        <v>2741.8552354225008</v>
      </c>
      <c r="Y74" s="324">
        <f t="shared" si="11"/>
        <v>0.82081283688109585</v>
      </c>
    </row>
    <row r="75" spans="1:25" x14ac:dyDescent="0.25">
      <c r="A75" s="148">
        <f>Données!A75</f>
        <v>5518</v>
      </c>
      <c r="B75" s="156" t="str">
        <f>Données!B75</f>
        <v>Echallens</v>
      </c>
      <c r="C75" s="318">
        <f>Données!C75</f>
        <v>6722</v>
      </c>
      <c r="D75" s="319">
        <f>Données!D75</f>
        <v>72.5</v>
      </c>
      <c r="E75" s="320">
        <f>Données!E75</f>
        <v>1</v>
      </c>
      <c r="F75" s="321">
        <f>Données!F75</f>
        <v>11855608.17</v>
      </c>
      <c r="G75" s="321">
        <f>Données!G75</f>
        <v>1329872.9099999999</v>
      </c>
      <c r="H75" s="321">
        <f>Données!H75</f>
        <v>879194.2</v>
      </c>
      <c r="I75" s="321">
        <f>Données!I75</f>
        <v>116605.3</v>
      </c>
      <c r="J75" s="321">
        <f>Données!J75</f>
        <v>0</v>
      </c>
      <c r="K75" s="321">
        <f>Données!K75</f>
        <v>53126.09</v>
      </c>
      <c r="L75" s="321">
        <f>Données!L75</f>
        <v>-252821.63</v>
      </c>
      <c r="M75" s="321">
        <f>Données!M75</f>
        <v>-3500</v>
      </c>
      <c r="N75" s="321">
        <f>Données!N75</f>
        <v>98304.571793845549</v>
      </c>
      <c r="O75" s="321">
        <f>Données!O75</f>
        <v>1254131.95</v>
      </c>
      <c r="P75" s="321">
        <f>Données!P75</f>
        <v>288855.84999999998</v>
      </c>
      <c r="Q75" s="321">
        <f>Données!Q75</f>
        <v>103831.65</v>
      </c>
      <c r="R75" s="321">
        <f>Données!R75</f>
        <v>-2162.42</v>
      </c>
      <c r="S75" s="313"/>
      <c r="T75" s="302">
        <f t="shared" si="6"/>
        <v>13102474.066298082</v>
      </c>
      <c r="U75" s="322">
        <f t="shared" si="7"/>
        <v>1254131.95</v>
      </c>
      <c r="V75" s="322">
        <f t="shared" si="8"/>
        <v>390525.08</v>
      </c>
      <c r="W75" s="323">
        <f t="shared" si="9"/>
        <v>14747131.096298082</v>
      </c>
      <c r="X75" s="302">
        <f t="shared" si="10"/>
        <v>2193.8606212880218</v>
      </c>
      <c r="Y75" s="324">
        <f t="shared" si="11"/>
        <v>0.65676295999035916</v>
      </c>
    </row>
    <row r="76" spans="1:25" x14ac:dyDescent="0.25">
      <c r="A76" s="148">
        <f>Données!A76</f>
        <v>5520</v>
      </c>
      <c r="B76" s="156" t="str">
        <f>Données!B76</f>
        <v>Essertines-sur-Yverdon</v>
      </c>
      <c r="C76" s="318">
        <f>Données!C76</f>
        <v>1148</v>
      </c>
      <c r="D76" s="319">
        <f>Données!D76</f>
        <v>74</v>
      </c>
      <c r="E76" s="320">
        <f>Données!E76</f>
        <v>1</v>
      </c>
      <c r="F76" s="321">
        <f>Données!F76</f>
        <v>2038458.6</v>
      </c>
      <c r="G76" s="321">
        <f>Données!G76</f>
        <v>318193.90999999997</v>
      </c>
      <c r="H76" s="321">
        <f>Données!H76</f>
        <v>29886.95</v>
      </c>
      <c r="I76" s="321">
        <f>Données!I76</f>
        <v>-169.45</v>
      </c>
      <c r="J76" s="321">
        <f>Données!J76</f>
        <v>0</v>
      </c>
      <c r="K76" s="321">
        <f>Données!K76</f>
        <v>1395.65</v>
      </c>
      <c r="L76" s="321">
        <f>Données!L76</f>
        <v>-26017.83</v>
      </c>
      <c r="M76" s="321">
        <f>Données!M76</f>
        <v>0</v>
      </c>
      <c r="N76" s="321">
        <f>Données!N76</f>
        <v>2933.6890732357319</v>
      </c>
      <c r="O76" s="321">
        <f>Données!O76</f>
        <v>219268.5</v>
      </c>
      <c r="P76" s="321">
        <f>Données!P76</f>
        <v>22611.96</v>
      </c>
      <c r="Q76" s="321">
        <f>Données!Q76</f>
        <v>8412.65</v>
      </c>
      <c r="R76" s="321">
        <f>Données!R76</f>
        <v>-71.75</v>
      </c>
      <c r="S76" s="313"/>
      <c r="T76" s="302">
        <f t="shared" si="6"/>
        <v>2156457.8502243967</v>
      </c>
      <c r="U76" s="322">
        <f t="shared" si="7"/>
        <v>219268.5</v>
      </c>
      <c r="V76" s="322">
        <f t="shared" si="8"/>
        <v>30952.86</v>
      </c>
      <c r="W76" s="323">
        <f t="shared" si="9"/>
        <v>2406679.2102243965</v>
      </c>
      <c r="X76" s="302">
        <f t="shared" si="10"/>
        <v>2096.4104618679412</v>
      </c>
      <c r="Y76" s="324">
        <f t="shared" si="11"/>
        <v>0.6275898874025988</v>
      </c>
    </row>
    <row r="77" spans="1:25" x14ac:dyDescent="0.25">
      <c r="A77" s="148">
        <f>Données!A77</f>
        <v>5521</v>
      </c>
      <c r="B77" s="156" t="str">
        <f>Données!B77</f>
        <v>Etagnières</v>
      </c>
      <c r="C77" s="318">
        <f>Données!C77</f>
        <v>1189</v>
      </c>
      <c r="D77" s="319">
        <f>Données!D77</f>
        <v>73</v>
      </c>
      <c r="E77" s="320">
        <f>Données!E77</f>
        <v>1</v>
      </c>
      <c r="F77" s="321">
        <f>Données!F77</f>
        <v>2539482.11</v>
      </c>
      <c r="G77" s="321">
        <f>Données!G77</f>
        <v>322798.07</v>
      </c>
      <c r="H77" s="321">
        <f>Données!H77</f>
        <v>169406.55</v>
      </c>
      <c r="I77" s="321">
        <f>Données!I77</f>
        <v>6455.1</v>
      </c>
      <c r="J77" s="321">
        <f>Données!J77</f>
        <v>0</v>
      </c>
      <c r="K77" s="321">
        <f>Données!K77</f>
        <v>5400.16</v>
      </c>
      <c r="L77" s="321">
        <f>Données!L77</f>
        <v>-45913.77</v>
      </c>
      <c r="M77" s="321">
        <f>Données!M77</f>
        <v>-50</v>
      </c>
      <c r="N77" s="321">
        <f>Données!N77</f>
        <v>17360.928779547627</v>
      </c>
      <c r="O77" s="321">
        <f>Données!O77</f>
        <v>290246.15000000002</v>
      </c>
      <c r="P77" s="321">
        <f>Données!P77</f>
        <v>92174.45</v>
      </c>
      <c r="Q77" s="321">
        <f>Données!Q77</f>
        <v>24744.6</v>
      </c>
      <c r="R77" s="321">
        <f>Données!R77</f>
        <v>-455.7</v>
      </c>
      <c r="S77" s="313"/>
      <c r="T77" s="302">
        <f t="shared" si="6"/>
        <v>2787120.3829626204</v>
      </c>
      <c r="U77" s="322">
        <f t="shared" si="7"/>
        <v>290246.15000000002</v>
      </c>
      <c r="V77" s="322">
        <f t="shared" si="8"/>
        <v>116463.34999999999</v>
      </c>
      <c r="W77" s="323">
        <f t="shared" si="9"/>
        <v>3193829.8829626204</v>
      </c>
      <c r="X77" s="302">
        <f t="shared" si="10"/>
        <v>2686.1479251157448</v>
      </c>
      <c r="Y77" s="324">
        <f t="shared" si="11"/>
        <v>0.80413607188738978</v>
      </c>
    </row>
    <row r="78" spans="1:25" x14ac:dyDescent="0.25">
      <c r="A78" s="148">
        <f>Données!A78</f>
        <v>5522</v>
      </c>
      <c r="B78" s="156" t="str">
        <f>Données!B78</f>
        <v>Fey</v>
      </c>
      <c r="C78" s="318">
        <f>Données!C78</f>
        <v>789</v>
      </c>
      <c r="D78" s="319">
        <f>Données!D78</f>
        <v>75</v>
      </c>
      <c r="E78" s="320">
        <f>Données!E78</f>
        <v>1</v>
      </c>
      <c r="F78" s="321">
        <f>Données!F78</f>
        <v>1451102.68</v>
      </c>
      <c r="G78" s="321">
        <f>Données!G78</f>
        <v>238949.49</v>
      </c>
      <c r="H78" s="321">
        <f>Données!H78</f>
        <v>53372</v>
      </c>
      <c r="I78" s="321">
        <f>Données!I78</f>
        <v>463.95</v>
      </c>
      <c r="J78" s="321">
        <f>Données!J78</f>
        <v>0</v>
      </c>
      <c r="K78" s="321">
        <f>Données!K78</f>
        <v>0</v>
      </c>
      <c r="L78" s="321">
        <f>Données!L78</f>
        <v>-29888.06</v>
      </c>
      <c r="M78" s="321">
        <f>Données!M78</f>
        <v>0</v>
      </c>
      <c r="N78" s="321">
        <f>Données!N78</f>
        <v>5314.6441747207937</v>
      </c>
      <c r="O78" s="321">
        <f>Données!O78</f>
        <v>150686.35</v>
      </c>
      <c r="P78" s="321">
        <f>Données!P78</f>
        <v>15601.49</v>
      </c>
      <c r="Q78" s="321">
        <f>Données!Q78</f>
        <v>3239.85</v>
      </c>
      <c r="R78" s="321">
        <f>Données!R78</f>
        <v>0</v>
      </c>
      <c r="S78" s="313"/>
      <c r="T78" s="302">
        <f t="shared" si="6"/>
        <v>1547013.6670722624</v>
      </c>
      <c r="U78" s="322">
        <f t="shared" si="7"/>
        <v>150686.35</v>
      </c>
      <c r="V78" s="322">
        <f t="shared" si="8"/>
        <v>18841.34</v>
      </c>
      <c r="W78" s="323">
        <f t="shared" si="9"/>
        <v>1716541.3570722626</v>
      </c>
      <c r="X78" s="302">
        <f t="shared" si="10"/>
        <v>2175.5910736023607</v>
      </c>
      <c r="Y78" s="324">
        <f t="shared" si="11"/>
        <v>0.65129371454272666</v>
      </c>
    </row>
    <row r="79" spans="1:25" x14ac:dyDescent="0.25">
      <c r="A79" s="148">
        <f>Données!A79</f>
        <v>5523</v>
      </c>
      <c r="B79" s="156" t="str">
        <f>Données!B79</f>
        <v>Froideville</v>
      </c>
      <c r="C79" s="318">
        <f>Données!C79</f>
        <v>2731</v>
      </c>
      <c r="D79" s="319">
        <f>Données!D79</f>
        <v>72</v>
      </c>
      <c r="E79" s="320">
        <f>Données!E79</f>
        <v>1.25</v>
      </c>
      <c r="F79" s="321">
        <f>Données!F79</f>
        <v>5059992.6399999997</v>
      </c>
      <c r="G79" s="321">
        <f>Données!G79</f>
        <v>631908.64</v>
      </c>
      <c r="H79" s="321">
        <f>Données!H79</f>
        <v>62320.4</v>
      </c>
      <c r="I79" s="321">
        <f>Données!I79</f>
        <v>3394.6</v>
      </c>
      <c r="J79" s="321">
        <f>Données!J79</f>
        <v>0</v>
      </c>
      <c r="K79" s="321">
        <f>Données!K79</f>
        <v>18311.91</v>
      </c>
      <c r="L79" s="321">
        <f>Données!L79</f>
        <v>-52330.44</v>
      </c>
      <c r="M79" s="321">
        <f>Données!M79</f>
        <v>-8616.66</v>
      </c>
      <c r="N79" s="321">
        <f>Données!N79</f>
        <v>6487.3349860414273</v>
      </c>
      <c r="O79" s="321">
        <f>Données!O79</f>
        <v>693029.6</v>
      </c>
      <c r="P79" s="321">
        <f>Données!P79</f>
        <v>94604.28</v>
      </c>
      <c r="Q79" s="321">
        <f>Données!Q79</f>
        <v>31774.799999999999</v>
      </c>
      <c r="R79" s="321">
        <f>Données!R79</f>
        <v>-560.95000000000005</v>
      </c>
      <c r="S79" s="313"/>
      <c r="T79" s="302">
        <f t="shared" si="6"/>
        <v>5362595.5759218894</v>
      </c>
      <c r="U79" s="322">
        <f t="shared" si="7"/>
        <v>554423.67999999993</v>
      </c>
      <c r="V79" s="322">
        <f t="shared" si="8"/>
        <v>125818.13</v>
      </c>
      <c r="W79" s="323">
        <f t="shared" si="9"/>
        <v>6042837.385921889</v>
      </c>
      <c r="X79" s="302">
        <f t="shared" si="10"/>
        <v>2212.6830413481835</v>
      </c>
      <c r="Y79" s="324">
        <f t="shared" si="11"/>
        <v>0.66239771554089</v>
      </c>
    </row>
    <row r="80" spans="1:25" x14ac:dyDescent="0.25">
      <c r="A80" s="148">
        <f>Données!A80</f>
        <v>5527</v>
      </c>
      <c r="B80" s="156" t="str">
        <f>Données!B80</f>
        <v>Morrens</v>
      </c>
      <c r="C80" s="318">
        <f>Données!C80</f>
        <v>1153</v>
      </c>
      <c r="D80" s="319">
        <f>Données!D80</f>
        <v>74</v>
      </c>
      <c r="E80" s="320">
        <f>Données!E80</f>
        <v>1</v>
      </c>
      <c r="F80" s="321">
        <f>Données!F80</f>
        <v>2439351.27</v>
      </c>
      <c r="G80" s="321">
        <f>Données!G80</f>
        <v>404665.41</v>
      </c>
      <c r="H80" s="321">
        <f>Données!H80</f>
        <v>40408.15</v>
      </c>
      <c r="I80" s="321">
        <f>Données!I80</f>
        <v>-1860.25</v>
      </c>
      <c r="J80" s="321">
        <f>Données!J80</f>
        <v>0</v>
      </c>
      <c r="K80" s="321">
        <f>Données!K80</f>
        <v>2275.06</v>
      </c>
      <c r="L80" s="321">
        <f>Données!L80</f>
        <v>-16163.84</v>
      </c>
      <c r="M80" s="321">
        <f>Données!M80</f>
        <v>0</v>
      </c>
      <c r="N80" s="321">
        <f>Données!N80</f>
        <v>3805.4194675253193</v>
      </c>
      <c r="O80" s="321">
        <f>Données!O80</f>
        <v>256256.8</v>
      </c>
      <c r="P80" s="321">
        <f>Données!P80</f>
        <v>18899.87</v>
      </c>
      <c r="Q80" s="321">
        <f>Données!Q80</f>
        <v>6427.75</v>
      </c>
      <c r="R80" s="321">
        <f>Données!R80</f>
        <v>-223.65</v>
      </c>
      <c r="S80" s="313"/>
      <c r="T80" s="302">
        <f t="shared" si="6"/>
        <v>2619542.8963180594</v>
      </c>
      <c r="U80" s="322">
        <f t="shared" si="7"/>
        <v>256256.8</v>
      </c>
      <c r="V80" s="322">
        <f t="shared" si="8"/>
        <v>25103.969999999998</v>
      </c>
      <c r="W80" s="323">
        <f t="shared" si="9"/>
        <v>2900903.6663180594</v>
      </c>
      <c r="X80" s="302">
        <f t="shared" si="10"/>
        <v>2515.9615492784555</v>
      </c>
      <c r="Y80" s="324">
        <f t="shared" si="11"/>
        <v>0.75318839232180812</v>
      </c>
    </row>
    <row r="81" spans="1:25" x14ac:dyDescent="0.25">
      <c r="A81" s="148">
        <f>Données!A81</f>
        <v>5529</v>
      </c>
      <c r="B81" s="156" t="str">
        <f>Données!B81</f>
        <v>Oulens-sous-Echallens</v>
      </c>
      <c r="C81" s="318">
        <f>Données!C81</f>
        <v>607</v>
      </c>
      <c r="D81" s="319">
        <f>Données!D81</f>
        <v>71</v>
      </c>
      <c r="E81" s="320">
        <f>Données!E81</f>
        <v>1</v>
      </c>
      <c r="F81" s="321">
        <f>Données!F81</f>
        <v>1219699.76</v>
      </c>
      <c r="G81" s="321">
        <f>Données!G81</f>
        <v>148750.19</v>
      </c>
      <c r="H81" s="321">
        <f>Données!H81</f>
        <v>21888.85</v>
      </c>
      <c r="I81" s="321">
        <f>Données!I81</f>
        <v>2184.75</v>
      </c>
      <c r="J81" s="321">
        <f>Données!J81</f>
        <v>0</v>
      </c>
      <c r="K81" s="321">
        <f>Données!K81</f>
        <v>8483.81</v>
      </c>
      <c r="L81" s="321">
        <f>Données!L81</f>
        <v>-33893.25</v>
      </c>
      <c r="M81" s="321">
        <f>Données!M81</f>
        <v>0</v>
      </c>
      <c r="N81" s="321">
        <f>Données!N81</f>
        <v>2376.5275434827195</v>
      </c>
      <c r="O81" s="321">
        <f>Données!O81</f>
        <v>137385.79999999999</v>
      </c>
      <c r="P81" s="321">
        <f>Données!P81</f>
        <v>1711.12</v>
      </c>
      <c r="Q81" s="321">
        <f>Données!Q81</f>
        <v>5172.05</v>
      </c>
      <c r="R81" s="321">
        <f>Données!R81</f>
        <v>0</v>
      </c>
      <c r="S81" s="313"/>
      <c r="T81" s="302">
        <f t="shared" si="6"/>
        <v>1301669.5793504561</v>
      </c>
      <c r="U81" s="322">
        <f t="shared" si="7"/>
        <v>137385.79999999999</v>
      </c>
      <c r="V81" s="322">
        <f t="shared" si="8"/>
        <v>6883.17</v>
      </c>
      <c r="W81" s="323">
        <f t="shared" si="9"/>
        <v>1445938.5493504561</v>
      </c>
      <c r="X81" s="302">
        <f t="shared" si="10"/>
        <v>2382.1063415987746</v>
      </c>
      <c r="Y81" s="324">
        <f t="shared" si="11"/>
        <v>0.71311695772254968</v>
      </c>
    </row>
    <row r="82" spans="1:25" x14ac:dyDescent="0.25">
      <c r="A82" s="148">
        <f>Données!A82</f>
        <v>5530</v>
      </c>
      <c r="B82" s="156" t="str">
        <f>Données!B82</f>
        <v>Pailly</v>
      </c>
      <c r="C82" s="318">
        <f>Données!C82</f>
        <v>576</v>
      </c>
      <c r="D82" s="319">
        <f>Données!D82</f>
        <v>76</v>
      </c>
      <c r="E82" s="320">
        <f>Données!E82</f>
        <v>1.2</v>
      </c>
      <c r="F82" s="321">
        <f>Données!F82</f>
        <v>1160547.8600000001</v>
      </c>
      <c r="G82" s="321">
        <f>Données!G82</f>
        <v>154238.41</v>
      </c>
      <c r="H82" s="321">
        <f>Données!H82</f>
        <v>16863.55</v>
      </c>
      <c r="I82" s="321">
        <f>Données!I82</f>
        <v>3400.3</v>
      </c>
      <c r="J82" s="321">
        <f>Données!J82</f>
        <v>0</v>
      </c>
      <c r="K82" s="321">
        <f>Données!K82</f>
        <v>0</v>
      </c>
      <c r="L82" s="321">
        <f>Données!L82</f>
        <v>-17949.830000000002</v>
      </c>
      <c r="M82" s="321">
        <f>Données!M82</f>
        <v>0</v>
      </c>
      <c r="N82" s="321">
        <f>Données!N82</f>
        <v>2000.4319113885044</v>
      </c>
      <c r="O82" s="321">
        <f>Données!O82</f>
        <v>138061.45000000001</v>
      </c>
      <c r="P82" s="321">
        <f>Données!P82</f>
        <v>7440.13</v>
      </c>
      <c r="Q82" s="321">
        <f>Données!Q82</f>
        <v>1400</v>
      </c>
      <c r="R82" s="321">
        <f>Données!R82</f>
        <v>-53.95</v>
      </c>
      <c r="S82" s="313"/>
      <c r="T82" s="302">
        <f t="shared" si="6"/>
        <v>1171289.9102252624</v>
      </c>
      <c r="U82" s="322">
        <f t="shared" si="7"/>
        <v>115051.20833333334</v>
      </c>
      <c r="V82" s="322">
        <f t="shared" si="8"/>
        <v>8786.18</v>
      </c>
      <c r="W82" s="323">
        <f t="shared" si="9"/>
        <v>1295127.2985585956</v>
      </c>
      <c r="X82" s="302">
        <f t="shared" si="10"/>
        <v>2248.4848933308949</v>
      </c>
      <c r="Y82" s="324">
        <f t="shared" si="11"/>
        <v>0.67311550228319339</v>
      </c>
    </row>
    <row r="83" spans="1:25" x14ac:dyDescent="0.25">
      <c r="A83" s="148">
        <f>Données!A83</f>
        <v>5531</v>
      </c>
      <c r="B83" s="156" t="str">
        <f>Données!B83</f>
        <v>Penthéréaz</v>
      </c>
      <c r="C83" s="318">
        <f>Données!C83</f>
        <v>430</v>
      </c>
      <c r="D83" s="319">
        <f>Données!D83</f>
        <v>74</v>
      </c>
      <c r="E83" s="320">
        <f>Données!E83</f>
        <v>1</v>
      </c>
      <c r="F83" s="321">
        <f>Données!F83</f>
        <v>984914.78</v>
      </c>
      <c r="G83" s="321">
        <f>Données!G83</f>
        <v>143391.28</v>
      </c>
      <c r="H83" s="321">
        <f>Données!H83</f>
        <v>13063.5</v>
      </c>
      <c r="I83" s="321">
        <f>Données!I83</f>
        <v>879.75</v>
      </c>
      <c r="J83" s="321">
        <f>Données!J83</f>
        <v>0</v>
      </c>
      <c r="K83" s="321">
        <f>Données!K83</f>
        <v>0</v>
      </c>
      <c r="L83" s="321">
        <f>Données!L83</f>
        <v>-2361.56</v>
      </c>
      <c r="M83" s="321">
        <f>Données!M83</f>
        <v>450</v>
      </c>
      <c r="N83" s="321">
        <f>Données!N83</f>
        <v>1376.4670705945693</v>
      </c>
      <c r="O83" s="321">
        <f>Données!O83</f>
        <v>94690.85</v>
      </c>
      <c r="P83" s="321">
        <f>Données!P83</f>
        <v>18775.740000000002</v>
      </c>
      <c r="Q83" s="321">
        <f>Données!Q83</f>
        <v>1739.3</v>
      </c>
      <c r="R83" s="321">
        <f>Données!R83</f>
        <v>0</v>
      </c>
      <c r="S83" s="313"/>
      <c r="T83" s="302">
        <f t="shared" si="6"/>
        <v>1041179.7809793906</v>
      </c>
      <c r="U83" s="322">
        <f t="shared" si="7"/>
        <v>94690.85</v>
      </c>
      <c r="V83" s="322">
        <f t="shared" si="8"/>
        <v>20515.04</v>
      </c>
      <c r="W83" s="323">
        <f t="shared" si="9"/>
        <v>1156385.6709793906</v>
      </c>
      <c r="X83" s="302">
        <f t="shared" si="10"/>
        <v>2689.2690022776528</v>
      </c>
      <c r="Y83" s="324">
        <f t="shared" si="11"/>
        <v>0.80507041012899128</v>
      </c>
    </row>
    <row r="84" spans="1:25" x14ac:dyDescent="0.25">
      <c r="A84" s="148">
        <f>Données!A84</f>
        <v>5533</v>
      </c>
      <c r="B84" s="156" t="str">
        <f>Données!B84</f>
        <v>Poliez-Pittet</v>
      </c>
      <c r="C84" s="318">
        <f>Données!C84</f>
        <v>850</v>
      </c>
      <c r="D84" s="319">
        <f>Données!D84</f>
        <v>73</v>
      </c>
      <c r="E84" s="320">
        <f>Données!E84</f>
        <v>1</v>
      </c>
      <c r="F84" s="321">
        <f>Données!F84</f>
        <v>1509696.47</v>
      </c>
      <c r="G84" s="321">
        <f>Données!G84</f>
        <v>220365.65</v>
      </c>
      <c r="H84" s="321">
        <f>Données!H84</f>
        <v>51824.15</v>
      </c>
      <c r="I84" s="321">
        <f>Données!I84</f>
        <v>3225.15</v>
      </c>
      <c r="J84" s="321">
        <f>Données!J84</f>
        <v>0</v>
      </c>
      <c r="K84" s="321">
        <f>Données!K84</f>
        <v>28.41</v>
      </c>
      <c r="L84" s="321">
        <f>Données!L84</f>
        <v>-14860.1</v>
      </c>
      <c r="M84" s="321">
        <f>Données!M84</f>
        <v>0</v>
      </c>
      <c r="N84" s="321">
        <f>Données!N84</f>
        <v>5434.4251669647774</v>
      </c>
      <c r="O84" s="321">
        <f>Données!O84</f>
        <v>165428.15</v>
      </c>
      <c r="P84" s="321">
        <f>Données!P84</f>
        <v>44143.31</v>
      </c>
      <c r="Q84" s="321">
        <f>Données!Q84</f>
        <v>12880.3</v>
      </c>
      <c r="R84" s="321">
        <f>Données!R84</f>
        <v>-259.26</v>
      </c>
      <c r="S84" s="313"/>
      <c r="T84" s="302">
        <f t="shared" si="6"/>
        <v>1641535.325243467</v>
      </c>
      <c r="U84" s="322">
        <f t="shared" si="7"/>
        <v>165428.15</v>
      </c>
      <c r="V84" s="322">
        <f t="shared" si="8"/>
        <v>56764.35</v>
      </c>
      <c r="W84" s="323">
        <f t="shared" si="9"/>
        <v>1863727.825243467</v>
      </c>
      <c r="X84" s="302">
        <f t="shared" si="10"/>
        <v>2192.6209708746669</v>
      </c>
      <c r="Y84" s="324">
        <f t="shared" si="11"/>
        <v>0.65639185324505001</v>
      </c>
    </row>
    <row r="85" spans="1:25" x14ac:dyDescent="0.25">
      <c r="A85" s="148">
        <f>Données!A85</f>
        <v>5534</v>
      </c>
      <c r="B85" s="156" t="str">
        <f>Données!B85</f>
        <v>Rueyres</v>
      </c>
      <c r="C85" s="318">
        <f>Données!C85</f>
        <v>304</v>
      </c>
      <c r="D85" s="319">
        <f>Données!D85</f>
        <v>73</v>
      </c>
      <c r="E85" s="320">
        <f>Données!E85</f>
        <v>1.2</v>
      </c>
      <c r="F85" s="321">
        <f>Données!F85</f>
        <v>605001.39</v>
      </c>
      <c r="G85" s="321">
        <f>Données!G85</f>
        <v>189512.83</v>
      </c>
      <c r="H85" s="321">
        <f>Données!H85</f>
        <v>416752.05</v>
      </c>
      <c r="I85" s="321">
        <f>Données!I85</f>
        <v>1662.15</v>
      </c>
      <c r="J85" s="321">
        <f>Données!J85</f>
        <v>0</v>
      </c>
      <c r="K85" s="321">
        <f>Données!K85</f>
        <v>0</v>
      </c>
      <c r="L85" s="321">
        <f>Données!L85</f>
        <v>-17148.490000000002</v>
      </c>
      <c r="M85" s="321">
        <f>Données!M85</f>
        <v>0</v>
      </c>
      <c r="N85" s="321">
        <f>Données!N85</f>
        <v>41305.532653374954</v>
      </c>
      <c r="O85" s="321">
        <f>Données!O85</f>
        <v>103647.75</v>
      </c>
      <c r="P85" s="321">
        <f>Données!P85</f>
        <v>-11215.71</v>
      </c>
      <c r="Q85" s="321">
        <f>Données!Q85</f>
        <v>1149.75</v>
      </c>
      <c r="R85" s="321">
        <f>Données!R85</f>
        <v>0</v>
      </c>
      <c r="S85" s="313"/>
      <c r="T85" s="302">
        <f t="shared" si="6"/>
        <v>1143607.1967899199</v>
      </c>
      <c r="U85" s="322">
        <f t="shared" si="7"/>
        <v>86373.125</v>
      </c>
      <c r="V85" s="322">
        <f t="shared" si="8"/>
        <v>-10065.959999999999</v>
      </c>
      <c r="W85" s="323">
        <f t="shared" si="9"/>
        <v>1219914.3617899199</v>
      </c>
      <c r="X85" s="302">
        <f t="shared" si="10"/>
        <v>4012.8761900984209</v>
      </c>
      <c r="Y85" s="324">
        <f t="shared" si="11"/>
        <v>1.2013107939083931</v>
      </c>
    </row>
    <row r="86" spans="1:25" x14ac:dyDescent="0.25">
      <c r="A86" s="148">
        <f>Données!A86</f>
        <v>5535</v>
      </c>
      <c r="B86" s="156" t="str">
        <f>Données!B86</f>
        <v>Saint-Barthélemy</v>
      </c>
      <c r="C86" s="318">
        <f>Données!C86</f>
        <v>837</v>
      </c>
      <c r="D86" s="319">
        <f>Données!D86</f>
        <v>75</v>
      </c>
      <c r="E86" s="320">
        <f>Données!E86</f>
        <v>1</v>
      </c>
      <c r="F86" s="321">
        <f>Données!F86</f>
        <v>1568166.35</v>
      </c>
      <c r="G86" s="321">
        <f>Données!G86</f>
        <v>202385.77</v>
      </c>
      <c r="H86" s="321">
        <f>Données!H86</f>
        <v>57673.05</v>
      </c>
      <c r="I86" s="321">
        <f>Données!I86</f>
        <v>1159.75</v>
      </c>
      <c r="J86" s="321">
        <f>Données!J86</f>
        <v>0</v>
      </c>
      <c r="K86" s="321">
        <f>Données!K86</f>
        <v>0</v>
      </c>
      <c r="L86" s="321">
        <f>Données!L86</f>
        <v>-7777.42</v>
      </c>
      <c r="M86" s="321">
        <f>Données!M86</f>
        <v>0</v>
      </c>
      <c r="N86" s="321">
        <f>Données!N86</f>
        <v>5807.9294189572865</v>
      </c>
      <c r="O86" s="321">
        <f>Données!O86</f>
        <v>156509.95000000001</v>
      </c>
      <c r="P86" s="321">
        <f>Données!P86</f>
        <v>3688.73</v>
      </c>
      <c r="Q86" s="321">
        <f>Données!Q86</f>
        <v>1739.3</v>
      </c>
      <c r="R86" s="321">
        <f>Données!R86</f>
        <v>-26.4</v>
      </c>
      <c r="S86" s="313"/>
      <c r="T86" s="302">
        <f t="shared" si="6"/>
        <v>1644281.0835418559</v>
      </c>
      <c r="U86" s="322">
        <f t="shared" si="7"/>
        <v>156509.95000000001</v>
      </c>
      <c r="V86" s="322">
        <f t="shared" si="8"/>
        <v>5401.63</v>
      </c>
      <c r="W86" s="323">
        <f t="shared" si="9"/>
        <v>1806192.6635418558</v>
      </c>
      <c r="X86" s="302">
        <f t="shared" si="10"/>
        <v>2157.9362766330414</v>
      </c>
      <c r="Y86" s="324">
        <f t="shared" si="11"/>
        <v>0.64600850334786442</v>
      </c>
    </row>
    <row r="87" spans="1:25" x14ac:dyDescent="0.25">
      <c r="A87" s="148">
        <f>Données!A87</f>
        <v>5537</v>
      </c>
      <c r="B87" s="156" t="str">
        <f>Données!B87</f>
        <v>Villars-le-Terroir</v>
      </c>
      <c r="C87" s="318">
        <f>Données!C87</f>
        <v>1307</v>
      </c>
      <c r="D87" s="319">
        <f>Données!D87</f>
        <v>76</v>
      </c>
      <c r="E87" s="320">
        <f>Données!E87</f>
        <v>1</v>
      </c>
      <c r="F87" s="321">
        <f>Données!F87</f>
        <v>2283070.6800000002</v>
      </c>
      <c r="G87" s="321">
        <f>Données!G87</f>
        <v>249526.25</v>
      </c>
      <c r="H87" s="321">
        <f>Données!H87</f>
        <v>-19853.05</v>
      </c>
      <c r="I87" s="321">
        <f>Données!I87</f>
        <v>1137.5</v>
      </c>
      <c r="J87" s="321">
        <f>Données!J87</f>
        <v>0</v>
      </c>
      <c r="K87" s="321">
        <f>Données!K87</f>
        <v>3105.65</v>
      </c>
      <c r="L87" s="321">
        <f>Données!L87</f>
        <v>-42523.06</v>
      </c>
      <c r="M87" s="321">
        <f>Données!M87</f>
        <v>0</v>
      </c>
      <c r="N87" s="321">
        <f>Données!N87</f>
        <v>-1847.5849090467568</v>
      </c>
      <c r="O87" s="321">
        <f>Données!O87</f>
        <v>269166.75</v>
      </c>
      <c r="P87" s="321">
        <f>Données!P87</f>
        <v>42192.17</v>
      </c>
      <c r="Q87" s="321">
        <f>Données!Q87</f>
        <v>6838.25</v>
      </c>
      <c r="R87" s="321">
        <f>Données!R87</f>
        <v>-255.05</v>
      </c>
      <c r="S87" s="313"/>
      <c r="T87" s="302">
        <f t="shared" si="6"/>
        <v>2195549.2674722732</v>
      </c>
      <c r="U87" s="322">
        <f t="shared" si="7"/>
        <v>269166.75</v>
      </c>
      <c r="V87" s="322">
        <f t="shared" si="8"/>
        <v>48775.369999999995</v>
      </c>
      <c r="W87" s="323">
        <f t="shared" si="9"/>
        <v>2513491.3874722733</v>
      </c>
      <c r="X87" s="302">
        <f t="shared" si="10"/>
        <v>1923.0997608816169</v>
      </c>
      <c r="Y87" s="324">
        <f t="shared" si="11"/>
        <v>0.57570689726489532</v>
      </c>
    </row>
    <row r="88" spans="1:25" x14ac:dyDescent="0.25">
      <c r="A88" s="148">
        <f>Données!A88</f>
        <v>5539</v>
      </c>
      <c r="B88" s="156" t="str">
        <f>Données!B88</f>
        <v>Vuarrens</v>
      </c>
      <c r="C88" s="318">
        <f>Données!C88</f>
        <v>1120</v>
      </c>
      <c r="D88" s="319">
        <f>Données!D88</f>
        <v>73.5</v>
      </c>
      <c r="E88" s="320">
        <f>Données!E88</f>
        <v>0.8</v>
      </c>
      <c r="F88" s="321">
        <f>Données!F88</f>
        <v>2052964.17</v>
      </c>
      <c r="G88" s="321">
        <f>Données!G88</f>
        <v>221714.01</v>
      </c>
      <c r="H88" s="321">
        <f>Données!H88</f>
        <v>45340.3</v>
      </c>
      <c r="I88" s="321">
        <f>Données!I88</f>
        <v>764.2</v>
      </c>
      <c r="J88" s="321">
        <f>Données!J88</f>
        <v>0</v>
      </c>
      <c r="K88" s="321">
        <f>Données!K88</f>
        <v>3654.73</v>
      </c>
      <c r="L88" s="321">
        <f>Données!L88</f>
        <v>-25733.34</v>
      </c>
      <c r="M88" s="321">
        <f>Données!M88</f>
        <v>0</v>
      </c>
      <c r="N88" s="321">
        <f>Données!N88</f>
        <v>4551.4012913938523</v>
      </c>
      <c r="O88" s="321">
        <f>Données!O88</f>
        <v>176155.2</v>
      </c>
      <c r="P88" s="321">
        <f>Données!P88</f>
        <v>34511.29</v>
      </c>
      <c r="Q88" s="321">
        <f>Données!Q88</f>
        <v>7615.7</v>
      </c>
      <c r="R88" s="321">
        <f>Données!R88</f>
        <v>-76.2</v>
      </c>
      <c r="S88" s="313"/>
      <c r="T88" s="302">
        <f t="shared" si="6"/>
        <v>2114729.4279724513</v>
      </c>
      <c r="U88" s="322">
        <f t="shared" si="7"/>
        <v>220194</v>
      </c>
      <c r="V88" s="322">
        <f t="shared" si="8"/>
        <v>42050.79</v>
      </c>
      <c r="W88" s="323">
        <f t="shared" si="9"/>
        <v>2376974.2179724514</v>
      </c>
      <c r="X88" s="302">
        <f t="shared" si="10"/>
        <v>2122.2984089039746</v>
      </c>
      <c r="Y88" s="324">
        <f t="shared" si="11"/>
        <v>0.63533980759282349</v>
      </c>
    </row>
    <row r="89" spans="1:25" x14ac:dyDescent="0.25">
      <c r="A89" s="148">
        <f>Données!A89</f>
        <v>5540</v>
      </c>
      <c r="B89" s="156" t="str">
        <f>Données!B89</f>
        <v>Montilliez</v>
      </c>
      <c r="C89" s="318">
        <f>Données!C89</f>
        <v>1874</v>
      </c>
      <c r="D89" s="319">
        <f>Données!D89</f>
        <v>72.5</v>
      </c>
      <c r="E89" s="320">
        <f>Données!E89</f>
        <v>0.8</v>
      </c>
      <c r="F89" s="321">
        <f>Données!F89</f>
        <v>3711921.19</v>
      </c>
      <c r="G89" s="321">
        <f>Données!G89</f>
        <v>589421.87</v>
      </c>
      <c r="H89" s="321">
        <f>Données!H89</f>
        <v>-46374.75</v>
      </c>
      <c r="I89" s="321">
        <f>Données!I89</f>
        <v>8230.35</v>
      </c>
      <c r="J89" s="321">
        <f>Données!J89</f>
        <v>0</v>
      </c>
      <c r="K89" s="321">
        <f>Données!K89</f>
        <v>26252.06</v>
      </c>
      <c r="L89" s="321">
        <f>Données!L89</f>
        <v>-45048.75</v>
      </c>
      <c r="M89" s="321">
        <f>Données!M89</f>
        <v>0</v>
      </c>
      <c r="N89" s="321">
        <f>Données!N89</f>
        <v>-3765.5862533905292</v>
      </c>
      <c r="O89" s="321">
        <f>Données!O89</f>
        <v>296388.3</v>
      </c>
      <c r="P89" s="321">
        <f>Données!P89</f>
        <v>89673.34</v>
      </c>
      <c r="Q89" s="321">
        <f>Données!Q89</f>
        <v>14558.5</v>
      </c>
      <c r="R89" s="321">
        <f>Données!R89</f>
        <v>-476.2</v>
      </c>
      <c r="S89" s="313"/>
      <c r="T89" s="302">
        <f t="shared" si="6"/>
        <v>3947235.7454561312</v>
      </c>
      <c r="U89" s="322">
        <f t="shared" si="7"/>
        <v>370485.37499999994</v>
      </c>
      <c r="V89" s="322">
        <f t="shared" si="8"/>
        <v>103755.64</v>
      </c>
      <c r="W89" s="323">
        <f t="shared" si="9"/>
        <v>4421476.7604561308</v>
      </c>
      <c r="X89" s="302">
        <f t="shared" si="10"/>
        <v>2359.3792745230153</v>
      </c>
      <c r="Y89" s="324">
        <f t="shared" si="11"/>
        <v>0.70631329130010767</v>
      </c>
    </row>
    <row r="90" spans="1:25" x14ac:dyDescent="0.25">
      <c r="A90" s="148">
        <f>Données!A90</f>
        <v>5541</v>
      </c>
      <c r="B90" s="156" t="str">
        <f>Données!B90</f>
        <v>Goumoëns</v>
      </c>
      <c r="C90" s="318">
        <f>Données!C90</f>
        <v>1211</v>
      </c>
      <c r="D90" s="319">
        <f>Données!D90</f>
        <v>75.5</v>
      </c>
      <c r="E90" s="320">
        <f>Données!E90</f>
        <v>1</v>
      </c>
      <c r="F90" s="321">
        <f>Données!F90</f>
        <v>2371616.98</v>
      </c>
      <c r="G90" s="321">
        <f>Données!G90</f>
        <v>363331.51</v>
      </c>
      <c r="H90" s="321">
        <f>Données!H90</f>
        <v>68687.5</v>
      </c>
      <c r="I90" s="321">
        <f>Données!I90</f>
        <v>6625.95</v>
      </c>
      <c r="J90" s="321">
        <f>Données!J90</f>
        <v>0</v>
      </c>
      <c r="K90" s="321">
        <f>Données!K90</f>
        <v>54.32</v>
      </c>
      <c r="L90" s="321">
        <f>Données!L90</f>
        <v>-8609.93</v>
      </c>
      <c r="M90" s="321">
        <f>Données!M90</f>
        <v>0</v>
      </c>
      <c r="N90" s="321">
        <f>Données!N90</f>
        <v>7434.886694125873</v>
      </c>
      <c r="O90" s="321">
        <f>Données!O90</f>
        <v>235799.85</v>
      </c>
      <c r="P90" s="321">
        <f>Données!P90</f>
        <v>47105.599999999999</v>
      </c>
      <c r="Q90" s="321">
        <f>Données!Q90</f>
        <v>4099.05</v>
      </c>
      <c r="R90" s="321">
        <f>Données!R90</f>
        <v>0</v>
      </c>
      <c r="S90" s="313"/>
      <c r="T90" s="302">
        <f t="shared" si="6"/>
        <v>2510884.0431830748</v>
      </c>
      <c r="U90" s="322">
        <f t="shared" si="7"/>
        <v>235799.85</v>
      </c>
      <c r="V90" s="322">
        <f t="shared" si="8"/>
        <v>51204.65</v>
      </c>
      <c r="W90" s="323">
        <f t="shared" si="9"/>
        <v>2797888.5431830748</v>
      </c>
      <c r="X90" s="302">
        <f t="shared" si="10"/>
        <v>2310.3951636524152</v>
      </c>
      <c r="Y90" s="324">
        <f t="shared" si="11"/>
        <v>0.69164921039373561</v>
      </c>
    </row>
    <row r="91" spans="1:25" x14ac:dyDescent="0.25">
      <c r="A91" s="148">
        <f>Données!A91</f>
        <v>5551</v>
      </c>
      <c r="B91" s="156" t="str">
        <f>Données!B91</f>
        <v>Bonvillars</v>
      </c>
      <c r="C91" s="318">
        <f>Données!C91</f>
        <v>518</v>
      </c>
      <c r="D91" s="319">
        <f>Données!D91</f>
        <v>57</v>
      </c>
      <c r="E91" s="320">
        <f>Données!E91</f>
        <v>1</v>
      </c>
      <c r="F91" s="321">
        <f>Données!F91</f>
        <v>782067.34</v>
      </c>
      <c r="G91" s="321">
        <f>Données!G91</f>
        <v>134567.48000000001</v>
      </c>
      <c r="H91" s="321">
        <f>Données!H91</f>
        <v>35890.9</v>
      </c>
      <c r="I91" s="321">
        <f>Données!I91</f>
        <v>15267.8</v>
      </c>
      <c r="J91" s="321">
        <f>Données!J91</f>
        <v>0</v>
      </c>
      <c r="K91" s="321">
        <f>Données!K91</f>
        <v>0</v>
      </c>
      <c r="L91" s="321">
        <f>Données!L91</f>
        <v>-565.08000000000004</v>
      </c>
      <c r="M91" s="321">
        <f>Données!M91</f>
        <v>0</v>
      </c>
      <c r="N91" s="321">
        <f>Données!N91</f>
        <v>5050.3480841573091</v>
      </c>
      <c r="O91" s="321">
        <f>Données!O91</f>
        <v>121378.5</v>
      </c>
      <c r="P91" s="321">
        <f>Données!P91</f>
        <v>3677.13</v>
      </c>
      <c r="Q91" s="321">
        <f>Données!Q91</f>
        <v>12553.55</v>
      </c>
      <c r="R91" s="321">
        <f>Données!R91</f>
        <v>-176.95</v>
      </c>
      <c r="S91" s="313"/>
      <c r="T91" s="302">
        <f t="shared" si="6"/>
        <v>1151107.7867845795</v>
      </c>
      <c r="U91" s="322">
        <f t="shared" si="7"/>
        <v>121378.5</v>
      </c>
      <c r="V91" s="322">
        <f t="shared" si="8"/>
        <v>16053.73</v>
      </c>
      <c r="W91" s="323">
        <f t="shared" si="9"/>
        <v>1288540.0167845795</v>
      </c>
      <c r="X91" s="302">
        <f t="shared" si="10"/>
        <v>2487.5289899316208</v>
      </c>
      <c r="Y91" s="324">
        <f t="shared" si="11"/>
        <v>0.74467670673178854</v>
      </c>
    </row>
    <row r="92" spans="1:25" x14ac:dyDescent="0.25">
      <c r="A92" s="148">
        <f>Données!A92</f>
        <v>5552</v>
      </c>
      <c r="B92" s="156" t="str">
        <f>Données!B92</f>
        <v>Bullet</v>
      </c>
      <c r="C92" s="318">
        <f>Données!C92</f>
        <v>682</v>
      </c>
      <c r="D92" s="319">
        <f>Données!D92</f>
        <v>72</v>
      </c>
      <c r="E92" s="320">
        <f>Données!E92</f>
        <v>1</v>
      </c>
      <c r="F92" s="321">
        <f>Données!F92</f>
        <v>992069.41</v>
      </c>
      <c r="G92" s="321">
        <f>Données!G92</f>
        <v>241265.36</v>
      </c>
      <c r="H92" s="321">
        <f>Données!H92</f>
        <v>36879.5</v>
      </c>
      <c r="I92" s="321">
        <f>Données!I92</f>
        <v>1120.3499999999999</v>
      </c>
      <c r="J92" s="321">
        <f>Données!J92</f>
        <v>0</v>
      </c>
      <c r="K92" s="321">
        <f>Données!K92</f>
        <v>798.07</v>
      </c>
      <c r="L92" s="321">
        <f>Données!L92</f>
        <v>-3197.03</v>
      </c>
      <c r="M92" s="321">
        <f>Données!M92</f>
        <v>-350</v>
      </c>
      <c r="N92" s="321">
        <f>Données!N92</f>
        <v>3751.3163869638033</v>
      </c>
      <c r="O92" s="321">
        <f>Données!O92</f>
        <v>144796.15</v>
      </c>
      <c r="P92" s="321">
        <f>Données!P92</f>
        <v>22126.2</v>
      </c>
      <c r="Q92" s="321">
        <f>Données!Q92</f>
        <v>6331.1</v>
      </c>
      <c r="R92" s="321">
        <f>Données!R92</f>
        <v>0</v>
      </c>
      <c r="S92" s="313"/>
      <c r="T92" s="302">
        <f t="shared" si="6"/>
        <v>1192531.0311698895</v>
      </c>
      <c r="U92" s="322">
        <f t="shared" si="7"/>
        <v>144796.15</v>
      </c>
      <c r="V92" s="322">
        <f t="shared" si="8"/>
        <v>28457.300000000003</v>
      </c>
      <c r="W92" s="323">
        <f t="shared" si="9"/>
        <v>1365784.4811698894</v>
      </c>
      <c r="X92" s="302">
        <f t="shared" si="10"/>
        <v>2002.6165413048232</v>
      </c>
      <c r="Y92" s="324">
        <f t="shared" si="11"/>
        <v>0.59951136121893989</v>
      </c>
    </row>
    <row r="93" spans="1:25" x14ac:dyDescent="0.25">
      <c r="A93" s="148">
        <f>Données!A93</f>
        <v>5553</v>
      </c>
      <c r="B93" s="156" t="str">
        <f>Données!B93</f>
        <v>Champagne</v>
      </c>
      <c r="C93" s="318">
        <f>Données!C93</f>
        <v>1071</v>
      </c>
      <c r="D93" s="319">
        <f>Données!D93</f>
        <v>65</v>
      </c>
      <c r="E93" s="320">
        <f>Données!E93</f>
        <v>1</v>
      </c>
      <c r="F93" s="321">
        <f>Données!F93</f>
        <v>1774778.22</v>
      </c>
      <c r="G93" s="321">
        <f>Données!G93</f>
        <v>262501.45</v>
      </c>
      <c r="H93" s="321">
        <f>Données!H93</f>
        <v>220607.25</v>
      </c>
      <c r="I93" s="321">
        <f>Données!I93</f>
        <v>14661.5</v>
      </c>
      <c r="J93" s="321">
        <f>Données!J93</f>
        <v>0</v>
      </c>
      <c r="K93" s="321">
        <f>Données!K93</f>
        <v>832.43</v>
      </c>
      <c r="L93" s="321">
        <f>Données!L93</f>
        <v>-98826.85</v>
      </c>
      <c r="M93" s="321">
        <f>Données!M93</f>
        <v>0</v>
      </c>
      <c r="N93" s="321">
        <f>Données!N93</f>
        <v>23225.552659168137</v>
      </c>
      <c r="O93" s="321">
        <f>Données!O93</f>
        <v>254165.75</v>
      </c>
      <c r="P93" s="321">
        <f>Données!P93</f>
        <v>7509.84</v>
      </c>
      <c r="Q93" s="321">
        <f>Données!Q93</f>
        <v>35751.35</v>
      </c>
      <c r="R93" s="321">
        <f>Données!R93</f>
        <v>-877.4</v>
      </c>
      <c r="S93" s="313"/>
      <c r="T93" s="302">
        <f t="shared" si="6"/>
        <v>2281764.4438754474</v>
      </c>
      <c r="U93" s="322">
        <f t="shared" si="7"/>
        <v>254165.75</v>
      </c>
      <c r="V93" s="322">
        <f t="shared" si="8"/>
        <v>42383.79</v>
      </c>
      <c r="W93" s="323">
        <f t="shared" si="9"/>
        <v>2578313.9838754474</v>
      </c>
      <c r="X93" s="302">
        <f t="shared" si="10"/>
        <v>2407.3893406866923</v>
      </c>
      <c r="Y93" s="324">
        <f t="shared" si="11"/>
        <v>0.72068577825621949</v>
      </c>
    </row>
    <row r="94" spans="1:25" x14ac:dyDescent="0.25">
      <c r="A94" s="148">
        <f>Données!A94</f>
        <v>5554</v>
      </c>
      <c r="B94" s="156" t="str">
        <f>Données!B94</f>
        <v>Concise</v>
      </c>
      <c r="C94" s="318">
        <f>Données!C94</f>
        <v>1025</v>
      </c>
      <c r="D94" s="319">
        <f>Données!D94</f>
        <v>71</v>
      </c>
      <c r="E94" s="320">
        <f>Données!E94</f>
        <v>1</v>
      </c>
      <c r="F94" s="321">
        <f>Données!F94</f>
        <v>1785319.61</v>
      </c>
      <c r="G94" s="321">
        <f>Données!G94</f>
        <v>364578.98</v>
      </c>
      <c r="H94" s="321">
        <f>Données!H94</f>
        <v>-10006.700000000001</v>
      </c>
      <c r="I94" s="321">
        <f>Données!I94</f>
        <v>1601.65</v>
      </c>
      <c r="J94" s="321">
        <f>Données!J94</f>
        <v>0</v>
      </c>
      <c r="K94" s="321">
        <f>Données!K94</f>
        <v>133.83000000000001</v>
      </c>
      <c r="L94" s="321">
        <f>Données!L94</f>
        <v>-30290.69</v>
      </c>
      <c r="M94" s="321">
        <f>Données!M94</f>
        <v>2350</v>
      </c>
      <c r="N94" s="321">
        <f>Données!N94</f>
        <v>-829.7401647177586</v>
      </c>
      <c r="O94" s="321">
        <f>Données!O94</f>
        <v>199938.2</v>
      </c>
      <c r="P94" s="321">
        <f>Données!P94</f>
        <v>28935.93</v>
      </c>
      <c r="Q94" s="321">
        <f>Données!Q94</f>
        <v>5287.5</v>
      </c>
      <c r="R94" s="321">
        <f>Données!R94</f>
        <v>-983.68</v>
      </c>
      <c r="S94" s="313"/>
      <c r="T94" s="302">
        <f t="shared" si="6"/>
        <v>2008222.275280623</v>
      </c>
      <c r="U94" s="322">
        <f t="shared" si="7"/>
        <v>199938.2</v>
      </c>
      <c r="V94" s="322">
        <f t="shared" si="8"/>
        <v>33239.75</v>
      </c>
      <c r="W94" s="323">
        <f t="shared" si="9"/>
        <v>2241400.225280623</v>
      </c>
      <c r="X94" s="302">
        <f t="shared" si="10"/>
        <v>2186.7319271030469</v>
      </c>
      <c r="Y94" s="324">
        <f t="shared" si="11"/>
        <v>0.65462888536029384</v>
      </c>
    </row>
    <row r="95" spans="1:25" x14ac:dyDescent="0.25">
      <c r="A95" s="148">
        <f>Données!A95</f>
        <v>5555</v>
      </c>
      <c r="B95" s="156" t="str">
        <f>Données!B95</f>
        <v>Corcelles-près-Concise</v>
      </c>
      <c r="C95" s="318">
        <f>Données!C95</f>
        <v>438</v>
      </c>
      <c r="D95" s="319">
        <f>Données!D95</f>
        <v>69</v>
      </c>
      <c r="E95" s="320">
        <f>Données!E95</f>
        <v>1</v>
      </c>
      <c r="F95" s="321">
        <f>Données!F95</f>
        <v>677668.71</v>
      </c>
      <c r="G95" s="321">
        <f>Données!G95</f>
        <v>159487.96</v>
      </c>
      <c r="H95" s="321">
        <f>Données!H95</f>
        <v>271.75</v>
      </c>
      <c r="I95" s="321">
        <f>Données!I95</f>
        <v>17641.45</v>
      </c>
      <c r="J95" s="321">
        <f>Données!J95</f>
        <v>0</v>
      </c>
      <c r="K95" s="321">
        <f>Données!K95</f>
        <v>15088.46</v>
      </c>
      <c r="L95" s="321">
        <f>Données!L95</f>
        <v>-3227.7</v>
      </c>
      <c r="M95" s="321">
        <f>Données!M95</f>
        <v>0</v>
      </c>
      <c r="N95" s="321">
        <f>Données!N95</f>
        <v>1768.3775252523367</v>
      </c>
      <c r="O95" s="321">
        <f>Données!O95</f>
        <v>102012.65</v>
      </c>
      <c r="P95" s="321">
        <f>Données!P95</f>
        <v>6142.48</v>
      </c>
      <c r="Q95" s="321">
        <f>Données!Q95</f>
        <v>2283.5</v>
      </c>
      <c r="R95" s="321">
        <f>Données!R95</f>
        <v>0</v>
      </c>
      <c r="S95" s="313"/>
      <c r="T95" s="302">
        <f t="shared" si="6"/>
        <v>849611.28252875397</v>
      </c>
      <c r="U95" s="322">
        <f t="shared" si="7"/>
        <v>102012.65</v>
      </c>
      <c r="V95" s="322">
        <f t="shared" si="8"/>
        <v>8425.98</v>
      </c>
      <c r="W95" s="323">
        <f t="shared" si="9"/>
        <v>960049.91252875398</v>
      </c>
      <c r="X95" s="302">
        <f t="shared" si="10"/>
        <v>2191.8947774629087</v>
      </c>
      <c r="Y95" s="324">
        <f t="shared" si="11"/>
        <v>0.65617445705770616</v>
      </c>
    </row>
    <row r="96" spans="1:25" x14ac:dyDescent="0.25">
      <c r="A96" s="148">
        <f>Données!A96</f>
        <v>5556</v>
      </c>
      <c r="B96" s="156" t="str">
        <f>Données!B96</f>
        <v>Fiez</v>
      </c>
      <c r="C96" s="318">
        <f>Données!C96</f>
        <v>431</v>
      </c>
      <c r="D96" s="319">
        <f>Données!D96</f>
        <v>69</v>
      </c>
      <c r="E96" s="320">
        <f>Données!E96</f>
        <v>1.2</v>
      </c>
      <c r="F96" s="321">
        <f>Données!F96</f>
        <v>739019.45</v>
      </c>
      <c r="G96" s="321">
        <f>Données!G96</f>
        <v>78107.66</v>
      </c>
      <c r="H96" s="321">
        <f>Données!H96</f>
        <v>7025.65</v>
      </c>
      <c r="I96" s="321">
        <f>Données!I96</f>
        <v>155.25</v>
      </c>
      <c r="J96" s="321">
        <f>Données!J96</f>
        <v>0</v>
      </c>
      <c r="K96" s="321">
        <f>Données!K96</f>
        <v>0</v>
      </c>
      <c r="L96" s="321">
        <f>Données!L96</f>
        <v>-22658.74</v>
      </c>
      <c r="M96" s="321">
        <f>Données!M96</f>
        <v>0</v>
      </c>
      <c r="N96" s="321">
        <f>Données!N96</f>
        <v>708.8930046605019</v>
      </c>
      <c r="O96" s="321">
        <f>Données!O96</f>
        <v>92504.52</v>
      </c>
      <c r="P96" s="321">
        <f>Données!P96</f>
        <v>1837.56</v>
      </c>
      <c r="Q96" s="321">
        <f>Données!Q96</f>
        <v>132.15</v>
      </c>
      <c r="R96" s="321">
        <f>Données!R96</f>
        <v>0</v>
      </c>
      <c r="S96" s="313"/>
      <c r="T96" s="302">
        <f t="shared" si="6"/>
        <v>784728.13024134666</v>
      </c>
      <c r="U96" s="322">
        <f t="shared" si="7"/>
        <v>77087.100000000006</v>
      </c>
      <c r="V96" s="322">
        <f t="shared" si="8"/>
        <v>1969.71</v>
      </c>
      <c r="W96" s="323">
        <f t="shared" si="9"/>
        <v>863784.9402413466</v>
      </c>
      <c r="X96" s="302">
        <f t="shared" si="10"/>
        <v>2004.1413926713378</v>
      </c>
      <c r="Y96" s="324">
        <f t="shared" si="11"/>
        <v>0.5999678468713554</v>
      </c>
    </row>
    <row r="97" spans="1:25" x14ac:dyDescent="0.25">
      <c r="A97" s="148">
        <f>Données!A97</f>
        <v>5557</v>
      </c>
      <c r="B97" s="156" t="str">
        <f>Données!B97</f>
        <v>Fontaines-sur-Grandson</v>
      </c>
      <c r="C97" s="318">
        <f>Données!C97</f>
        <v>220</v>
      </c>
      <c r="D97" s="319">
        <f>Données!D97</f>
        <v>69</v>
      </c>
      <c r="E97" s="320">
        <f>Données!E97</f>
        <v>1</v>
      </c>
      <c r="F97" s="321">
        <f>Données!F97</f>
        <v>285472.07</v>
      </c>
      <c r="G97" s="321">
        <f>Données!G97</f>
        <v>32057.01</v>
      </c>
      <c r="H97" s="321">
        <f>Données!H97</f>
        <v>4841.7</v>
      </c>
      <c r="I97" s="321">
        <f>Données!I97</f>
        <v>157.6</v>
      </c>
      <c r="J97" s="321">
        <f>Données!J97</f>
        <v>0</v>
      </c>
      <c r="K97" s="321">
        <f>Données!K97</f>
        <v>1041.33</v>
      </c>
      <c r="L97" s="321">
        <f>Données!L97</f>
        <v>-8954.31</v>
      </c>
      <c r="M97" s="321">
        <f>Données!M97</f>
        <v>0</v>
      </c>
      <c r="N97" s="321">
        <f>Données!N97</f>
        <v>493.52710637931841</v>
      </c>
      <c r="O97" s="321">
        <f>Données!O97</f>
        <v>37721.1</v>
      </c>
      <c r="P97" s="321">
        <f>Données!P97</f>
        <v>1658.57</v>
      </c>
      <c r="Q97" s="321">
        <f>Données!Q97</f>
        <v>847.95</v>
      </c>
      <c r="R97" s="321">
        <f>Données!R97</f>
        <v>0</v>
      </c>
      <c r="S97" s="313"/>
      <c r="T97" s="302">
        <f t="shared" si="6"/>
        <v>308185.11058023543</v>
      </c>
      <c r="U97" s="322">
        <f t="shared" si="7"/>
        <v>37721.1</v>
      </c>
      <c r="V97" s="322">
        <f t="shared" si="8"/>
        <v>2506.52</v>
      </c>
      <c r="W97" s="323">
        <f t="shared" si="9"/>
        <v>348412.73058023542</v>
      </c>
      <c r="X97" s="302">
        <f t="shared" si="10"/>
        <v>1583.6942299101611</v>
      </c>
      <c r="Y97" s="324">
        <f t="shared" si="11"/>
        <v>0.47410108922270428</v>
      </c>
    </row>
    <row r="98" spans="1:25" x14ac:dyDescent="0.25">
      <c r="A98" s="148">
        <f>Données!A98</f>
        <v>5559</v>
      </c>
      <c r="B98" s="156" t="str">
        <f>Données!B98</f>
        <v>Giez</v>
      </c>
      <c r="C98" s="318">
        <f>Données!C98</f>
        <v>464</v>
      </c>
      <c r="D98" s="319">
        <f>Données!D98</f>
        <v>68</v>
      </c>
      <c r="E98" s="320">
        <f>Données!E98</f>
        <v>1</v>
      </c>
      <c r="F98" s="321">
        <f>Données!F98</f>
        <v>924238.21</v>
      </c>
      <c r="G98" s="321">
        <f>Données!G98</f>
        <v>257090.33</v>
      </c>
      <c r="H98" s="321">
        <f>Données!H98</f>
        <v>277190.45</v>
      </c>
      <c r="I98" s="321">
        <f>Données!I98</f>
        <v>-492.4</v>
      </c>
      <c r="J98" s="321">
        <f>Données!J98</f>
        <v>0</v>
      </c>
      <c r="K98" s="321">
        <f>Données!K98</f>
        <v>671.92</v>
      </c>
      <c r="L98" s="321">
        <f>Données!L98</f>
        <v>-8881.1299999999992</v>
      </c>
      <c r="M98" s="321">
        <f>Données!M98</f>
        <v>0</v>
      </c>
      <c r="N98" s="321">
        <f>Données!N98</f>
        <v>27315.421750505062</v>
      </c>
      <c r="O98" s="321">
        <f>Données!O98</f>
        <v>99456.9</v>
      </c>
      <c r="P98" s="321">
        <f>Données!P98</f>
        <v>2382.98</v>
      </c>
      <c r="Q98" s="321">
        <f>Données!Q98</f>
        <v>4391</v>
      </c>
      <c r="R98" s="321">
        <f>Données!R98</f>
        <v>-333.2</v>
      </c>
      <c r="S98" s="313"/>
      <c r="T98" s="302">
        <f t="shared" si="6"/>
        <v>1465921.3366421589</v>
      </c>
      <c r="U98" s="322">
        <f t="shared" si="7"/>
        <v>99456.9</v>
      </c>
      <c r="V98" s="322">
        <f t="shared" si="8"/>
        <v>6440.78</v>
      </c>
      <c r="W98" s="323">
        <f t="shared" si="9"/>
        <v>1571819.0166421589</v>
      </c>
      <c r="X98" s="302">
        <f t="shared" si="10"/>
        <v>3387.5409841425835</v>
      </c>
      <c r="Y98" s="324">
        <f t="shared" si="11"/>
        <v>1.0141079256566192</v>
      </c>
    </row>
    <row r="99" spans="1:25" x14ac:dyDescent="0.25">
      <c r="A99" s="148">
        <f>Données!A99</f>
        <v>5560</v>
      </c>
      <c r="B99" s="156" t="str">
        <f>Données!B99</f>
        <v>Grandevent</v>
      </c>
      <c r="C99" s="318">
        <f>Données!C99</f>
        <v>241</v>
      </c>
      <c r="D99" s="319">
        <f>Données!D99</f>
        <v>70</v>
      </c>
      <c r="E99" s="320">
        <f>Données!E99</f>
        <v>1</v>
      </c>
      <c r="F99" s="321">
        <f>Données!F99</f>
        <v>446198.32</v>
      </c>
      <c r="G99" s="321">
        <f>Données!G99</f>
        <v>63899.77</v>
      </c>
      <c r="H99" s="321">
        <f>Données!H99</f>
        <v>1368</v>
      </c>
      <c r="I99" s="321">
        <f>Données!I99</f>
        <v>392.85</v>
      </c>
      <c r="J99" s="321">
        <f>Données!J99</f>
        <v>0</v>
      </c>
      <c r="K99" s="321">
        <f>Données!K99</f>
        <v>0</v>
      </c>
      <c r="L99" s="321">
        <f>Données!L99</f>
        <v>-5451.92</v>
      </c>
      <c r="M99" s="321">
        <f>Données!M99</f>
        <v>0</v>
      </c>
      <c r="N99" s="321">
        <f>Données!N99</f>
        <v>173.82977722241569</v>
      </c>
      <c r="O99" s="321">
        <f>Données!O99</f>
        <v>47581.9</v>
      </c>
      <c r="P99" s="321">
        <f>Données!P99</f>
        <v>6989.96</v>
      </c>
      <c r="Q99" s="321">
        <f>Données!Q99</f>
        <v>0</v>
      </c>
      <c r="R99" s="321">
        <f>Données!R99</f>
        <v>0</v>
      </c>
      <c r="S99" s="313"/>
      <c r="T99" s="302">
        <f t="shared" si="6"/>
        <v>488372.00919534243</v>
      </c>
      <c r="U99" s="322">
        <f t="shared" si="7"/>
        <v>47581.9</v>
      </c>
      <c r="V99" s="322">
        <f t="shared" si="8"/>
        <v>6989.96</v>
      </c>
      <c r="W99" s="323">
        <f t="shared" si="9"/>
        <v>542943.86919534241</v>
      </c>
      <c r="X99" s="302">
        <f t="shared" si="10"/>
        <v>2252.8791252918772</v>
      </c>
      <c r="Y99" s="324">
        <f t="shared" si="11"/>
        <v>0.67443097727808377</v>
      </c>
    </row>
    <row r="100" spans="1:25" x14ac:dyDescent="0.25">
      <c r="A100" s="148">
        <f>Données!A100</f>
        <v>5561</v>
      </c>
      <c r="B100" s="156" t="str">
        <f>Données!B100</f>
        <v>Grandson</v>
      </c>
      <c r="C100" s="318">
        <f>Données!C100</f>
        <v>3396</v>
      </c>
      <c r="D100" s="319">
        <f>Données!D100</f>
        <v>69</v>
      </c>
      <c r="E100" s="320">
        <f>Données!E100</f>
        <v>1</v>
      </c>
      <c r="F100" s="321">
        <f>Données!F100</f>
        <v>6249685.6699999999</v>
      </c>
      <c r="G100" s="321">
        <f>Données!G100</f>
        <v>1353312.96</v>
      </c>
      <c r="H100" s="321">
        <f>Données!H100</f>
        <v>217637.05</v>
      </c>
      <c r="I100" s="321">
        <f>Données!I100</f>
        <v>14701.55</v>
      </c>
      <c r="J100" s="321">
        <f>Données!J100</f>
        <v>0</v>
      </c>
      <c r="K100" s="321">
        <f>Données!K100</f>
        <v>20701.96</v>
      </c>
      <c r="L100" s="321">
        <f>Données!L100</f>
        <v>-91878.85</v>
      </c>
      <c r="M100" s="321">
        <f>Données!M100</f>
        <v>0</v>
      </c>
      <c r="N100" s="321">
        <f>Données!N100</f>
        <v>22936.290472310502</v>
      </c>
      <c r="O100" s="321">
        <f>Données!O100</f>
        <v>705570.05</v>
      </c>
      <c r="P100" s="321">
        <f>Données!P100</f>
        <v>120277.04</v>
      </c>
      <c r="Q100" s="321">
        <f>Données!Q100</f>
        <v>63902.35</v>
      </c>
      <c r="R100" s="321">
        <f>Données!R100</f>
        <v>-1654.35</v>
      </c>
      <c r="S100" s="313"/>
      <c r="T100" s="302">
        <f t="shared" si="6"/>
        <v>7615992.5337529499</v>
      </c>
      <c r="U100" s="322">
        <f t="shared" si="7"/>
        <v>705570.05</v>
      </c>
      <c r="V100" s="322">
        <f t="shared" si="8"/>
        <v>182525.03999999998</v>
      </c>
      <c r="W100" s="323">
        <f t="shared" si="9"/>
        <v>8504087.6237529498</v>
      </c>
      <c r="X100" s="302">
        <f t="shared" si="10"/>
        <v>2504.1482991027533</v>
      </c>
      <c r="Y100" s="324">
        <f t="shared" si="11"/>
        <v>0.74965193012488618</v>
      </c>
    </row>
    <row r="101" spans="1:25" x14ac:dyDescent="0.25">
      <c r="A101" s="148">
        <f>Données!A101</f>
        <v>5562</v>
      </c>
      <c r="B101" s="156" t="str">
        <f>Données!B101</f>
        <v>Mauborget</v>
      </c>
      <c r="C101" s="318">
        <f>Données!C101</f>
        <v>145</v>
      </c>
      <c r="D101" s="319">
        <f>Données!D101</f>
        <v>70</v>
      </c>
      <c r="E101" s="320">
        <f>Données!E101</f>
        <v>1.2</v>
      </c>
      <c r="F101" s="321">
        <f>Données!F101</f>
        <v>151473.07999999999</v>
      </c>
      <c r="G101" s="321">
        <f>Données!G101</f>
        <v>121660.63</v>
      </c>
      <c r="H101" s="321">
        <f>Données!H101</f>
        <v>300.05</v>
      </c>
      <c r="I101" s="321">
        <f>Données!I101</f>
        <v>440.15</v>
      </c>
      <c r="J101" s="321">
        <f>Données!J101</f>
        <v>0</v>
      </c>
      <c r="K101" s="321">
        <f>Données!K101</f>
        <v>10813.52</v>
      </c>
      <c r="L101" s="321">
        <f>Données!L101</f>
        <v>-10541.68</v>
      </c>
      <c r="M101" s="321">
        <f>Données!M101</f>
        <v>0</v>
      </c>
      <c r="N101" s="321">
        <f>Données!N101</f>
        <v>73.071982906001139</v>
      </c>
      <c r="O101" s="321">
        <f>Données!O101</f>
        <v>39690.85</v>
      </c>
      <c r="P101" s="321">
        <f>Données!P101</f>
        <v>10728.68</v>
      </c>
      <c r="Q101" s="321">
        <f>Données!Q101</f>
        <v>-104.5</v>
      </c>
      <c r="R101" s="321">
        <f>Données!R101</f>
        <v>0</v>
      </c>
      <c r="S101" s="313"/>
      <c r="T101" s="302">
        <f t="shared" si="6"/>
        <v>264362.13905414246</v>
      </c>
      <c r="U101" s="322">
        <f t="shared" si="7"/>
        <v>33075.708333333336</v>
      </c>
      <c r="V101" s="322">
        <f t="shared" si="8"/>
        <v>10624.18</v>
      </c>
      <c r="W101" s="323">
        <f t="shared" si="9"/>
        <v>308062.02738747577</v>
      </c>
      <c r="X101" s="302">
        <f t="shared" si="10"/>
        <v>2124.5657061205225</v>
      </c>
      <c r="Y101" s="324">
        <f t="shared" si="11"/>
        <v>0.6360185548280255</v>
      </c>
    </row>
    <row r="102" spans="1:25" x14ac:dyDescent="0.25">
      <c r="A102" s="148">
        <f>Données!A102</f>
        <v>5563</v>
      </c>
      <c r="B102" s="156" t="str">
        <f>Données!B102</f>
        <v>Mutrux</v>
      </c>
      <c r="C102" s="318">
        <f>Données!C102</f>
        <v>144</v>
      </c>
      <c r="D102" s="319">
        <f>Données!D102</f>
        <v>80</v>
      </c>
      <c r="E102" s="320">
        <f>Données!E102</f>
        <v>1</v>
      </c>
      <c r="F102" s="321">
        <f>Données!F102</f>
        <v>252106.42</v>
      </c>
      <c r="G102" s="321">
        <f>Données!G102</f>
        <v>39615.800000000003</v>
      </c>
      <c r="H102" s="321">
        <f>Données!H102</f>
        <v>-218.55</v>
      </c>
      <c r="I102" s="321">
        <f>Données!I102</f>
        <v>48.2</v>
      </c>
      <c r="J102" s="321">
        <f>Données!J102</f>
        <v>0</v>
      </c>
      <c r="K102" s="321">
        <f>Données!K102</f>
        <v>0</v>
      </c>
      <c r="L102" s="321">
        <f>Données!L102</f>
        <v>-173</v>
      </c>
      <c r="M102" s="321">
        <f>Données!M102</f>
        <v>0</v>
      </c>
      <c r="N102" s="321">
        <f>Données!N102</f>
        <v>-16.816822869545117</v>
      </c>
      <c r="O102" s="321">
        <f>Données!O102</f>
        <v>23396.3</v>
      </c>
      <c r="P102" s="321">
        <f>Données!P102</f>
        <v>7066.88</v>
      </c>
      <c r="Q102" s="321">
        <f>Données!Q102</f>
        <v>0</v>
      </c>
      <c r="R102" s="321">
        <f>Données!R102</f>
        <v>0</v>
      </c>
      <c r="S102" s="313"/>
      <c r="T102" s="302">
        <f t="shared" si="6"/>
        <v>245778.01836365275</v>
      </c>
      <c r="U102" s="322">
        <f t="shared" si="7"/>
        <v>23396.3</v>
      </c>
      <c r="V102" s="322">
        <f t="shared" si="8"/>
        <v>7066.88</v>
      </c>
      <c r="W102" s="323">
        <f t="shared" si="9"/>
        <v>276241.19836365274</v>
      </c>
      <c r="X102" s="302">
        <f t="shared" si="10"/>
        <v>1918.3416553031441</v>
      </c>
      <c r="Y102" s="324">
        <f t="shared" si="11"/>
        <v>0.574282491596941</v>
      </c>
    </row>
    <row r="103" spans="1:25" x14ac:dyDescent="0.25">
      <c r="A103" s="148">
        <f>Données!A103</f>
        <v>5564</v>
      </c>
      <c r="B103" s="156" t="str">
        <f>Données!B103</f>
        <v>Novalles</v>
      </c>
      <c r="C103" s="318">
        <f>Données!C103</f>
        <v>106</v>
      </c>
      <c r="D103" s="319">
        <f>Données!D103</f>
        <v>76</v>
      </c>
      <c r="E103" s="320">
        <f>Données!E103</f>
        <v>0.8</v>
      </c>
      <c r="F103" s="321">
        <f>Données!F103</f>
        <v>162354.68</v>
      </c>
      <c r="G103" s="321">
        <f>Données!G103</f>
        <v>10797.91</v>
      </c>
      <c r="H103" s="321">
        <f>Données!H103</f>
        <v>20.3</v>
      </c>
      <c r="I103" s="321">
        <f>Données!I103</f>
        <v>33.799999999999997</v>
      </c>
      <c r="J103" s="321">
        <f>Données!J103</f>
        <v>0</v>
      </c>
      <c r="K103" s="321">
        <f>Données!K103</f>
        <v>0</v>
      </c>
      <c r="L103" s="321">
        <f>Données!L103</f>
        <v>-1158.83</v>
      </c>
      <c r="M103" s="321">
        <f>Données!M103</f>
        <v>0</v>
      </c>
      <c r="N103" s="321">
        <f>Données!N103</f>
        <v>5.3407109905629033</v>
      </c>
      <c r="O103" s="321">
        <f>Données!O103</f>
        <v>12188.05</v>
      </c>
      <c r="P103" s="321">
        <f>Données!P103</f>
        <v>0</v>
      </c>
      <c r="Q103" s="321">
        <f>Données!Q103</f>
        <v>0</v>
      </c>
      <c r="R103" s="321">
        <f>Données!R103</f>
        <v>0</v>
      </c>
      <c r="S103" s="313"/>
      <c r="T103" s="302">
        <f t="shared" si="6"/>
        <v>152773.91230802669</v>
      </c>
      <c r="U103" s="322">
        <f t="shared" si="7"/>
        <v>15235.062499999998</v>
      </c>
      <c r="V103" s="322">
        <f t="shared" si="8"/>
        <v>0</v>
      </c>
      <c r="W103" s="323">
        <f t="shared" si="9"/>
        <v>168008.97480802669</v>
      </c>
      <c r="X103" s="302">
        <f t="shared" si="10"/>
        <v>1584.9903283776102</v>
      </c>
      <c r="Y103" s="324">
        <f t="shared" si="11"/>
        <v>0.47448909448505366</v>
      </c>
    </row>
    <row r="104" spans="1:25" x14ac:dyDescent="0.25">
      <c r="A104" s="148">
        <f>Données!A104</f>
        <v>5565</v>
      </c>
      <c r="B104" s="156" t="str">
        <f>Données!B104</f>
        <v>Onnens</v>
      </c>
      <c r="C104" s="318">
        <f>Données!C104</f>
        <v>520</v>
      </c>
      <c r="D104" s="319">
        <f>Données!D104</f>
        <v>63.5</v>
      </c>
      <c r="E104" s="320">
        <f>Données!E104</f>
        <v>1</v>
      </c>
      <c r="F104" s="321">
        <f>Données!F104</f>
        <v>910761.38</v>
      </c>
      <c r="G104" s="321">
        <f>Données!G104</f>
        <v>129066.94</v>
      </c>
      <c r="H104" s="321">
        <f>Données!H104</f>
        <v>29662.6</v>
      </c>
      <c r="I104" s="321">
        <f>Données!I104</f>
        <v>49247.95</v>
      </c>
      <c r="J104" s="321">
        <f>Données!J104</f>
        <v>0</v>
      </c>
      <c r="K104" s="321">
        <f>Données!K104</f>
        <v>0</v>
      </c>
      <c r="L104" s="321">
        <f>Données!L104</f>
        <v>-8089.7</v>
      </c>
      <c r="M104" s="321">
        <f>Données!M104</f>
        <v>-560</v>
      </c>
      <c r="N104" s="321">
        <f>Données!N104</f>
        <v>7789.9896794152219</v>
      </c>
      <c r="O104" s="321">
        <f>Données!O104</f>
        <v>135301.95000000001</v>
      </c>
      <c r="P104" s="321">
        <f>Données!P104</f>
        <v>4717.21</v>
      </c>
      <c r="Q104" s="321">
        <f>Données!Q104</f>
        <v>23875.35</v>
      </c>
      <c r="R104" s="321">
        <f>Données!R104</f>
        <v>-261.02999999999997</v>
      </c>
      <c r="S104" s="313"/>
      <c r="T104" s="302">
        <f t="shared" si="6"/>
        <v>1188012.9396768217</v>
      </c>
      <c r="U104" s="322">
        <f t="shared" si="7"/>
        <v>135301.95000000001</v>
      </c>
      <c r="V104" s="322">
        <f t="shared" si="8"/>
        <v>28331.53</v>
      </c>
      <c r="W104" s="323">
        <f t="shared" si="9"/>
        <v>1351646.4196768217</v>
      </c>
      <c r="X104" s="302">
        <f t="shared" si="10"/>
        <v>2599.3200378400416</v>
      </c>
      <c r="Y104" s="324">
        <f t="shared" si="11"/>
        <v>0.77814292551174602</v>
      </c>
    </row>
    <row r="105" spans="1:25" x14ac:dyDescent="0.25">
      <c r="A105" s="148">
        <f>Données!A105</f>
        <v>5566</v>
      </c>
      <c r="B105" s="156" t="str">
        <f>Données!B105</f>
        <v>Provence</v>
      </c>
      <c r="C105" s="318">
        <f>Données!C105</f>
        <v>411</v>
      </c>
      <c r="D105" s="319">
        <f>Données!D105</f>
        <v>81</v>
      </c>
      <c r="E105" s="320">
        <f>Données!E105</f>
        <v>1.5</v>
      </c>
      <c r="F105" s="321">
        <f>Données!F105</f>
        <v>765199.37</v>
      </c>
      <c r="G105" s="321">
        <f>Données!G105</f>
        <v>65054.19</v>
      </c>
      <c r="H105" s="321">
        <f>Données!H105</f>
        <v>805.35</v>
      </c>
      <c r="I105" s="321">
        <f>Données!I105</f>
        <v>3114.9</v>
      </c>
      <c r="J105" s="321">
        <f>Données!J105</f>
        <v>0</v>
      </c>
      <c r="K105" s="321">
        <f>Données!K105</f>
        <v>1543.08</v>
      </c>
      <c r="L105" s="321">
        <f>Données!L105</f>
        <v>-2241.89</v>
      </c>
      <c r="M105" s="321">
        <f>Données!M105</f>
        <v>0</v>
      </c>
      <c r="N105" s="321">
        <f>Données!N105</f>
        <v>387.00410833187107</v>
      </c>
      <c r="O105" s="321">
        <f>Données!O105</f>
        <v>100564</v>
      </c>
      <c r="P105" s="321">
        <f>Données!P105</f>
        <v>13401.13</v>
      </c>
      <c r="Q105" s="321">
        <f>Données!Q105</f>
        <v>2760.45</v>
      </c>
      <c r="R105" s="321">
        <f>Données!R105</f>
        <v>0</v>
      </c>
      <c r="S105" s="313"/>
      <c r="T105" s="302">
        <f t="shared" si="6"/>
        <v>694719.04172675323</v>
      </c>
      <c r="U105" s="322">
        <f t="shared" si="7"/>
        <v>67042.666666666672</v>
      </c>
      <c r="V105" s="322">
        <f t="shared" si="8"/>
        <v>16161.579999999998</v>
      </c>
      <c r="W105" s="323">
        <f t="shared" si="9"/>
        <v>777923.28839341982</v>
      </c>
      <c r="X105" s="302">
        <f t="shared" si="10"/>
        <v>1892.7573926847197</v>
      </c>
      <c r="Y105" s="324">
        <f t="shared" si="11"/>
        <v>0.5666234835982551</v>
      </c>
    </row>
    <row r="106" spans="1:25" x14ac:dyDescent="0.25">
      <c r="A106" s="148">
        <f>Données!A106</f>
        <v>5568</v>
      </c>
      <c r="B106" s="156" t="str">
        <f>Données!B106</f>
        <v>Sainte-Croix</v>
      </c>
      <c r="C106" s="318">
        <f>Données!C106</f>
        <v>5130</v>
      </c>
      <c r="D106" s="319">
        <f>Données!D106</f>
        <v>70</v>
      </c>
      <c r="E106" s="320">
        <f>Données!E106</f>
        <v>1</v>
      </c>
      <c r="F106" s="321">
        <f>Données!F106</f>
        <v>5862312.7999999998</v>
      </c>
      <c r="G106" s="321">
        <f>Données!G106</f>
        <v>957335.96</v>
      </c>
      <c r="H106" s="321">
        <f>Données!H106</f>
        <v>395677.45</v>
      </c>
      <c r="I106" s="321">
        <f>Données!I106</f>
        <v>48953.2</v>
      </c>
      <c r="J106" s="321">
        <f>Données!J106</f>
        <v>0</v>
      </c>
      <c r="K106" s="321">
        <f>Données!K106</f>
        <v>30651.95</v>
      </c>
      <c r="L106" s="321">
        <f>Données!L106</f>
        <v>-242614.02</v>
      </c>
      <c r="M106" s="321">
        <f>Données!M106</f>
        <v>-1468</v>
      </c>
      <c r="N106" s="321">
        <f>Données!N106</f>
        <v>43893.600724512529</v>
      </c>
      <c r="O106" s="321">
        <f>Données!O106</f>
        <v>706695.25</v>
      </c>
      <c r="P106" s="321">
        <f>Données!P106</f>
        <v>165964.81</v>
      </c>
      <c r="Q106" s="321">
        <f>Données!Q106</f>
        <v>52209.4</v>
      </c>
      <c r="R106" s="321">
        <f>Données!R106</f>
        <v>-365.5</v>
      </c>
      <c r="S106" s="313"/>
      <c r="T106" s="302">
        <f t="shared" si="6"/>
        <v>6839725.3196796523</v>
      </c>
      <c r="U106" s="322">
        <f t="shared" si="7"/>
        <v>706695.25</v>
      </c>
      <c r="V106" s="322">
        <f t="shared" si="8"/>
        <v>217808.71</v>
      </c>
      <c r="W106" s="323">
        <f t="shared" si="9"/>
        <v>7764229.2796796523</v>
      </c>
      <c r="X106" s="302">
        <f t="shared" si="10"/>
        <v>1513.4949862923299</v>
      </c>
      <c r="Y106" s="324">
        <f t="shared" si="11"/>
        <v>0.45308596064973994</v>
      </c>
    </row>
    <row r="107" spans="1:25" x14ac:dyDescent="0.25">
      <c r="A107" s="148">
        <f>Données!A107</f>
        <v>5571</v>
      </c>
      <c r="B107" s="156" t="str">
        <f>Données!B107</f>
        <v>Tévenon</v>
      </c>
      <c r="C107" s="318">
        <f>Données!C107</f>
        <v>861</v>
      </c>
      <c r="D107" s="319">
        <f>Données!D107</f>
        <v>71.5</v>
      </c>
      <c r="E107" s="320">
        <f>Données!E107</f>
        <v>1.2</v>
      </c>
      <c r="F107" s="321">
        <f>Données!F107</f>
        <v>1469797.43</v>
      </c>
      <c r="G107" s="321">
        <f>Données!G107</f>
        <v>187312.69</v>
      </c>
      <c r="H107" s="321">
        <f>Données!H107</f>
        <v>18614.900000000001</v>
      </c>
      <c r="I107" s="321">
        <f>Données!I107</f>
        <v>297.35000000000002</v>
      </c>
      <c r="J107" s="321">
        <f>Données!J107</f>
        <v>0</v>
      </c>
      <c r="K107" s="321">
        <f>Données!K107</f>
        <v>0</v>
      </c>
      <c r="L107" s="321">
        <f>Données!L107</f>
        <v>-8926.3700000000008</v>
      </c>
      <c r="M107" s="321">
        <f>Données!M107</f>
        <v>0</v>
      </c>
      <c r="N107" s="321">
        <f>Données!N107</f>
        <v>1867.0029839422048</v>
      </c>
      <c r="O107" s="321">
        <f>Données!O107</f>
        <v>208655.8</v>
      </c>
      <c r="P107" s="321">
        <f>Données!P107</f>
        <v>17484.810000000001</v>
      </c>
      <c r="Q107" s="321">
        <f>Données!Q107</f>
        <v>9181</v>
      </c>
      <c r="R107" s="321">
        <f>Données!R107</f>
        <v>-71.55</v>
      </c>
      <c r="S107" s="313"/>
      <c r="T107" s="302">
        <f t="shared" si="6"/>
        <v>1575218.1389144266</v>
      </c>
      <c r="U107" s="322">
        <f t="shared" si="7"/>
        <v>173879.83333333334</v>
      </c>
      <c r="V107" s="322">
        <f t="shared" si="8"/>
        <v>26594.260000000002</v>
      </c>
      <c r="W107" s="323">
        <f t="shared" si="9"/>
        <v>1775692.2322477598</v>
      </c>
      <c r="X107" s="302">
        <f t="shared" si="10"/>
        <v>2062.3603161994888</v>
      </c>
      <c r="Y107" s="324">
        <f t="shared" si="11"/>
        <v>0.61739649852441825</v>
      </c>
    </row>
    <row r="108" spans="1:25" x14ac:dyDescent="0.25">
      <c r="A108" s="148">
        <f>Données!A108</f>
        <v>5581</v>
      </c>
      <c r="B108" s="156" t="str">
        <f>Données!B108</f>
        <v>Belmont-sur-Lausanne</v>
      </c>
      <c r="C108" s="318">
        <f>Données!C108</f>
        <v>3922</v>
      </c>
      <c r="D108" s="319">
        <f>Données!D108</f>
        <v>72</v>
      </c>
      <c r="E108" s="320">
        <f>Données!E108</f>
        <v>1.5</v>
      </c>
      <c r="F108" s="321">
        <f>Données!F108</f>
        <v>12464347.130000001</v>
      </c>
      <c r="G108" s="321">
        <f>Données!G108</f>
        <v>1965627.72</v>
      </c>
      <c r="H108" s="321">
        <f>Données!H108</f>
        <v>538963.85</v>
      </c>
      <c r="I108" s="321">
        <f>Données!I108</f>
        <v>20906.25</v>
      </c>
      <c r="J108" s="321">
        <f>Données!J108</f>
        <v>42869.73</v>
      </c>
      <c r="K108" s="321">
        <f>Données!K108</f>
        <v>86625.919999999998</v>
      </c>
      <c r="L108" s="321">
        <f>Données!L108</f>
        <v>-227217.26</v>
      </c>
      <c r="M108" s="321">
        <f>Données!M108</f>
        <v>-7750</v>
      </c>
      <c r="N108" s="321">
        <f>Données!N108</f>
        <v>55269.951873522215</v>
      </c>
      <c r="O108" s="321">
        <f>Données!O108</f>
        <v>1586866.95</v>
      </c>
      <c r="P108" s="321">
        <f>Données!P108</f>
        <v>117418.2</v>
      </c>
      <c r="Q108" s="321">
        <f>Données!Q108</f>
        <v>52887</v>
      </c>
      <c r="R108" s="321">
        <f>Données!R108</f>
        <v>-14712.79</v>
      </c>
      <c r="S108" s="313"/>
      <c r="T108" s="302">
        <f t="shared" si="6"/>
        <v>14002570.506722242</v>
      </c>
      <c r="U108" s="322">
        <f t="shared" si="7"/>
        <v>1057911.3</v>
      </c>
      <c r="V108" s="322">
        <f t="shared" si="8"/>
        <v>155592.41</v>
      </c>
      <c r="W108" s="323">
        <f t="shared" si="9"/>
        <v>15216074.216722243</v>
      </c>
      <c r="X108" s="302">
        <f t="shared" si="10"/>
        <v>3879.6721613264258</v>
      </c>
      <c r="Y108" s="324">
        <f t="shared" si="11"/>
        <v>1.1614342988521236</v>
      </c>
    </row>
    <row r="109" spans="1:25" x14ac:dyDescent="0.25">
      <c r="A109" s="148">
        <f>Données!A109</f>
        <v>5582</v>
      </c>
      <c r="B109" s="156" t="str">
        <f>Données!B109</f>
        <v>Cheseaux-sur-Lausanne</v>
      </c>
      <c r="C109" s="318">
        <f>Données!C109</f>
        <v>4855</v>
      </c>
      <c r="D109" s="319">
        <f>Données!D109</f>
        <v>73</v>
      </c>
      <c r="E109" s="320">
        <f>Données!E109</f>
        <v>1</v>
      </c>
      <c r="F109" s="321">
        <f>Données!F109</f>
        <v>9748799.7200000007</v>
      </c>
      <c r="G109" s="321">
        <f>Données!G109</f>
        <v>1216216.76</v>
      </c>
      <c r="H109" s="321">
        <f>Données!H109</f>
        <v>485625.9</v>
      </c>
      <c r="I109" s="321">
        <f>Données!I109</f>
        <v>250695.5</v>
      </c>
      <c r="J109" s="321">
        <f>Données!J109</f>
        <v>0</v>
      </c>
      <c r="K109" s="321">
        <f>Données!K109</f>
        <v>7361.89</v>
      </c>
      <c r="L109" s="321">
        <f>Données!L109</f>
        <v>-135362.1</v>
      </c>
      <c r="M109" s="321">
        <f>Données!M109</f>
        <v>-1084</v>
      </c>
      <c r="N109" s="321">
        <f>Données!N109</f>
        <v>72689.090454097299</v>
      </c>
      <c r="O109" s="321">
        <f>Données!O109</f>
        <v>1036909.9</v>
      </c>
      <c r="P109" s="321">
        <f>Données!P109</f>
        <v>310854.2</v>
      </c>
      <c r="Q109" s="321">
        <f>Données!Q109</f>
        <v>123981.75</v>
      </c>
      <c r="R109" s="321">
        <f>Données!R109</f>
        <v>-7060.05</v>
      </c>
      <c r="S109" s="313"/>
      <c r="T109" s="302">
        <f t="shared" si="6"/>
        <v>10765012.401405452</v>
      </c>
      <c r="U109" s="322">
        <f t="shared" si="7"/>
        <v>1036909.9</v>
      </c>
      <c r="V109" s="322">
        <f t="shared" si="8"/>
        <v>427775.9</v>
      </c>
      <c r="W109" s="323">
        <f t="shared" si="9"/>
        <v>12229698.201405453</v>
      </c>
      <c r="X109" s="302">
        <f t="shared" si="10"/>
        <v>2518.9903607426268</v>
      </c>
      <c r="Y109" s="324">
        <f t="shared" si="11"/>
        <v>0.75409510953217218</v>
      </c>
    </row>
    <row r="110" spans="1:25" x14ac:dyDescent="0.25">
      <c r="A110" s="148">
        <f>Données!A110</f>
        <v>5583</v>
      </c>
      <c r="B110" s="156" t="str">
        <f>Données!B110</f>
        <v>Crissier</v>
      </c>
      <c r="C110" s="318">
        <f>Données!C110</f>
        <v>10680</v>
      </c>
      <c r="D110" s="319">
        <f>Données!D110</f>
        <v>63.5</v>
      </c>
      <c r="E110" s="320">
        <f>Données!E110</f>
        <v>1</v>
      </c>
      <c r="F110" s="321">
        <f>Données!F110</f>
        <v>14503234.050000001</v>
      </c>
      <c r="G110" s="321">
        <f>Données!G110</f>
        <v>1898919.74</v>
      </c>
      <c r="H110" s="321">
        <f>Données!H110</f>
        <v>6497066.8499999996</v>
      </c>
      <c r="I110" s="321">
        <f>Données!I110</f>
        <v>370230.2</v>
      </c>
      <c r="J110" s="321">
        <f>Données!J110</f>
        <v>0</v>
      </c>
      <c r="K110" s="321">
        <f>Données!K110</f>
        <v>222234.34</v>
      </c>
      <c r="L110" s="321">
        <f>Données!L110</f>
        <v>-375310.17</v>
      </c>
      <c r="M110" s="321">
        <f>Données!M110</f>
        <v>-27083.32</v>
      </c>
      <c r="N110" s="321">
        <f>Données!N110</f>
        <v>677934.35915702779</v>
      </c>
      <c r="O110" s="321">
        <f>Données!O110</f>
        <v>3044225.9</v>
      </c>
      <c r="P110" s="321">
        <f>Données!P110</f>
        <v>1556964.22</v>
      </c>
      <c r="Q110" s="321">
        <f>Données!Q110</f>
        <v>599154</v>
      </c>
      <c r="R110" s="321">
        <f>Données!R110</f>
        <v>-5517.98</v>
      </c>
      <c r="S110" s="313"/>
      <c r="T110" s="302">
        <f t="shared" si="6"/>
        <v>25258340.172223989</v>
      </c>
      <c r="U110" s="322">
        <f t="shared" si="7"/>
        <v>3044225.9</v>
      </c>
      <c r="V110" s="322">
        <f t="shared" si="8"/>
        <v>2150600.2399999998</v>
      </c>
      <c r="W110" s="323">
        <f t="shared" si="9"/>
        <v>30453166.312223986</v>
      </c>
      <c r="X110" s="302">
        <f t="shared" si="10"/>
        <v>2851.4200666876391</v>
      </c>
      <c r="Y110" s="324">
        <f t="shared" si="11"/>
        <v>0.85361260647187764</v>
      </c>
    </row>
    <row r="111" spans="1:25" x14ac:dyDescent="0.25">
      <c r="A111" s="148">
        <f>Données!A111</f>
        <v>5584</v>
      </c>
      <c r="B111" s="156" t="str">
        <f>Données!B111</f>
        <v>Epalinges</v>
      </c>
      <c r="C111" s="318">
        <f>Données!C111</f>
        <v>9905</v>
      </c>
      <c r="D111" s="319">
        <f>Données!D111</f>
        <v>64.5</v>
      </c>
      <c r="E111" s="320">
        <f>Données!E111</f>
        <v>1</v>
      </c>
      <c r="F111" s="321">
        <f>Données!F111</f>
        <v>25079695.629999999</v>
      </c>
      <c r="G111" s="321">
        <f>Données!G111</f>
        <v>4454826.8899999997</v>
      </c>
      <c r="H111" s="321">
        <f>Données!H111</f>
        <v>597900.30000000005</v>
      </c>
      <c r="I111" s="321">
        <f>Données!I111</f>
        <v>240146.3</v>
      </c>
      <c r="J111" s="321">
        <f>Données!J111</f>
        <v>433651.65</v>
      </c>
      <c r="K111" s="321">
        <f>Données!K111</f>
        <v>103047.62</v>
      </c>
      <c r="L111" s="321">
        <f>Données!L111</f>
        <v>-196707.33</v>
      </c>
      <c r="M111" s="321">
        <f>Données!M111</f>
        <v>-87960</v>
      </c>
      <c r="N111" s="321">
        <f>Données!N111</f>
        <v>82731.325087317455</v>
      </c>
      <c r="O111" s="321">
        <f>Données!O111</f>
        <v>2698147.3</v>
      </c>
      <c r="P111" s="321">
        <f>Données!P111</f>
        <v>503221.37</v>
      </c>
      <c r="Q111" s="321">
        <f>Données!Q111</f>
        <v>331856.09999999998</v>
      </c>
      <c r="R111" s="321">
        <f>Données!R111</f>
        <v>-291699.46999999997</v>
      </c>
      <c r="S111" s="313"/>
      <c r="T111" s="302">
        <f t="shared" si="6"/>
        <v>32127905.355433829</v>
      </c>
      <c r="U111" s="322">
        <f t="shared" si="7"/>
        <v>2698147.3</v>
      </c>
      <c r="V111" s="322">
        <f t="shared" si="8"/>
        <v>543378</v>
      </c>
      <c r="W111" s="323">
        <f t="shared" si="9"/>
        <v>35369430.655433826</v>
      </c>
      <c r="X111" s="302">
        <f t="shared" si="10"/>
        <v>3570.8662953491998</v>
      </c>
      <c r="Y111" s="324">
        <f t="shared" si="11"/>
        <v>1.068988929883097</v>
      </c>
    </row>
    <row r="112" spans="1:25" x14ac:dyDescent="0.25">
      <c r="A112" s="148">
        <f>Données!A112</f>
        <v>5585</v>
      </c>
      <c r="B112" s="156" t="str">
        <f>Données!B112</f>
        <v>Jouxtens-Mézery</v>
      </c>
      <c r="C112" s="318">
        <f>Données!C112</f>
        <v>1482</v>
      </c>
      <c r="D112" s="319">
        <f>Données!D112</f>
        <v>59</v>
      </c>
      <c r="E112" s="320">
        <f>Données!E112</f>
        <v>1.5</v>
      </c>
      <c r="F112" s="321">
        <f>Données!F112</f>
        <v>5965267.3899999997</v>
      </c>
      <c r="G112" s="321">
        <f>Données!G112</f>
        <v>4826214.22</v>
      </c>
      <c r="H112" s="321">
        <f>Données!H112</f>
        <v>57566.6</v>
      </c>
      <c r="I112" s="321">
        <f>Données!I112</f>
        <v>3559.45</v>
      </c>
      <c r="J112" s="321">
        <f>Données!J112</f>
        <v>750925.89</v>
      </c>
      <c r="K112" s="321">
        <f>Données!K112</f>
        <v>228603.78</v>
      </c>
      <c r="L112" s="321">
        <f>Données!L112</f>
        <v>-241199.24</v>
      </c>
      <c r="M112" s="321">
        <f>Données!M112</f>
        <v>-9317</v>
      </c>
      <c r="N112" s="321">
        <f>Données!N112</f>
        <v>6034.3173206043912</v>
      </c>
      <c r="O112" s="321">
        <f>Données!O112</f>
        <v>951755.15</v>
      </c>
      <c r="P112" s="321">
        <f>Données!P112</f>
        <v>38020.800000000003</v>
      </c>
      <c r="Q112" s="321">
        <f>Données!Q112</f>
        <v>12786</v>
      </c>
      <c r="R112" s="321">
        <f>Données!R112</f>
        <v>-19646.27</v>
      </c>
      <c r="S112" s="313"/>
      <c r="T112" s="302">
        <f t="shared" si="6"/>
        <v>13253897.161183085</v>
      </c>
      <c r="U112" s="322">
        <f t="shared" si="7"/>
        <v>634503.43333333335</v>
      </c>
      <c r="V112" s="322">
        <f t="shared" si="8"/>
        <v>31160.530000000002</v>
      </c>
      <c r="W112" s="323">
        <f t="shared" si="9"/>
        <v>13919561.124516418</v>
      </c>
      <c r="X112" s="302">
        <f t="shared" si="10"/>
        <v>9392.4164133039267</v>
      </c>
      <c r="Y112" s="324">
        <f t="shared" si="11"/>
        <v>2.8117516423818767</v>
      </c>
    </row>
    <row r="113" spans="1:25" x14ac:dyDescent="0.25">
      <c r="A113" s="148">
        <f>Données!A113</f>
        <v>5586</v>
      </c>
      <c r="B113" s="156" t="str">
        <f>Données!B113</f>
        <v>Lausanne</v>
      </c>
      <c r="C113" s="318">
        <f>Données!C113</f>
        <v>145037</v>
      </c>
      <c r="D113" s="319">
        <f>Données!D113</f>
        <v>78.5</v>
      </c>
      <c r="E113" s="320">
        <f>Données!E113</f>
        <v>1.5</v>
      </c>
      <c r="F113" s="321">
        <f>Données!F113</f>
        <v>322053684.51999998</v>
      </c>
      <c r="G113" s="321">
        <f>Données!G113</f>
        <v>50084443.509999998</v>
      </c>
      <c r="H113" s="321">
        <f>Données!H113</f>
        <v>100213899.20999999</v>
      </c>
      <c r="I113" s="321">
        <f>Données!I113</f>
        <v>8350072.5999999996</v>
      </c>
      <c r="J113" s="321">
        <f>Données!J113</f>
        <v>5260439.42</v>
      </c>
      <c r="K113" s="321">
        <f>Données!K113</f>
        <v>1564389.62</v>
      </c>
      <c r="L113" s="321">
        <f>Données!L113</f>
        <v>-7675123.0899999999</v>
      </c>
      <c r="M113" s="321">
        <f>Données!M113</f>
        <v>-361640.9</v>
      </c>
      <c r="N113" s="321">
        <f>Données!N113</f>
        <v>10717353.002307361</v>
      </c>
      <c r="O113" s="321">
        <f>Données!O113</f>
        <v>47536006</v>
      </c>
      <c r="P113" s="321">
        <f>Données!P113</f>
        <v>25515335.539999999</v>
      </c>
      <c r="Q113" s="321">
        <f>Données!Q113</f>
        <v>6859959.75</v>
      </c>
      <c r="R113" s="321">
        <f>Données!R113</f>
        <v>-2669875.0699999998</v>
      </c>
      <c r="S113" s="313"/>
      <c r="T113" s="302">
        <f t="shared" si="6"/>
        <v>421415346.49695832</v>
      </c>
      <c r="U113" s="322">
        <f t="shared" si="7"/>
        <v>31690670.666666668</v>
      </c>
      <c r="V113" s="322">
        <f t="shared" si="8"/>
        <v>29705420.219999999</v>
      </c>
      <c r="W113" s="323">
        <f t="shared" si="9"/>
        <v>482811437.38362503</v>
      </c>
      <c r="X113" s="302">
        <f t="shared" si="10"/>
        <v>3328.8846114000221</v>
      </c>
      <c r="Y113" s="324">
        <f t="shared" si="11"/>
        <v>0.9965483174431834</v>
      </c>
    </row>
    <row r="114" spans="1:25" x14ac:dyDescent="0.25">
      <c r="A114" s="148">
        <f>Données!A114</f>
        <v>5587</v>
      </c>
      <c r="B114" s="156" t="str">
        <f>Données!B114</f>
        <v>Le Mont-sur-Lausanne</v>
      </c>
      <c r="C114" s="318">
        <f>Données!C114</f>
        <v>9543</v>
      </c>
      <c r="D114" s="319">
        <f>Données!D114</f>
        <v>72</v>
      </c>
      <c r="E114" s="320">
        <f>Données!E114</f>
        <v>1.2</v>
      </c>
      <c r="F114" s="321">
        <f>Données!F114</f>
        <v>25720005.079999998</v>
      </c>
      <c r="G114" s="321">
        <f>Données!G114</f>
        <v>4766993.47</v>
      </c>
      <c r="H114" s="321">
        <f>Données!H114</f>
        <v>2614830.7000000002</v>
      </c>
      <c r="I114" s="321">
        <f>Données!I114</f>
        <v>475115.25</v>
      </c>
      <c r="J114" s="321">
        <f>Données!J114</f>
        <v>106783.4</v>
      </c>
      <c r="K114" s="321">
        <f>Données!K114</f>
        <v>40093.53</v>
      </c>
      <c r="L114" s="321">
        <f>Données!L114</f>
        <v>-559042.57999999996</v>
      </c>
      <c r="M114" s="321">
        <f>Données!M114</f>
        <v>-94861</v>
      </c>
      <c r="N114" s="321">
        <f>Données!N114</f>
        <v>305037.12191146641</v>
      </c>
      <c r="O114" s="321">
        <f>Données!O114</f>
        <v>3398665.7</v>
      </c>
      <c r="P114" s="321">
        <f>Données!P114</f>
        <v>470017.82</v>
      </c>
      <c r="Q114" s="321">
        <f>Données!Q114</f>
        <v>354873.9</v>
      </c>
      <c r="R114" s="321">
        <f>Données!R114</f>
        <v>-33024.68</v>
      </c>
      <c r="S114" s="313"/>
      <c r="T114" s="302">
        <f t="shared" si="6"/>
        <v>31281547.425371204</v>
      </c>
      <c r="U114" s="322">
        <f t="shared" si="7"/>
        <v>2832221.416666667</v>
      </c>
      <c r="V114" s="322">
        <f t="shared" si="8"/>
        <v>791867.03999999992</v>
      </c>
      <c r="W114" s="323">
        <f t="shared" si="9"/>
        <v>34905635.882037871</v>
      </c>
      <c r="X114" s="302">
        <f t="shared" si="10"/>
        <v>3657.7214588743445</v>
      </c>
      <c r="Y114" s="324">
        <f t="shared" si="11"/>
        <v>1.0949902417867357</v>
      </c>
    </row>
    <row r="115" spans="1:25" x14ac:dyDescent="0.25">
      <c r="A115" s="148">
        <f>Données!A115</f>
        <v>5588</v>
      </c>
      <c r="B115" s="156" t="str">
        <f>Données!B115</f>
        <v>Paudex</v>
      </c>
      <c r="C115" s="318">
        <f>Données!C115</f>
        <v>1512</v>
      </c>
      <c r="D115" s="319">
        <f>Données!D115</f>
        <v>66.5</v>
      </c>
      <c r="E115" s="320">
        <f>Données!E115</f>
        <v>0.7</v>
      </c>
      <c r="F115" s="321">
        <f>Données!F115</f>
        <v>5109124.28</v>
      </c>
      <c r="G115" s="321">
        <f>Données!G115</f>
        <v>1947200.28</v>
      </c>
      <c r="H115" s="321">
        <f>Données!H115</f>
        <v>401405.3</v>
      </c>
      <c r="I115" s="321">
        <f>Données!I115</f>
        <v>425209.8</v>
      </c>
      <c r="J115" s="321">
        <f>Données!J115</f>
        <v>407770.55</v>
      </c>
      <c r="K115" s="321">
        <f>Données!K115</f>
        <v>16960.46</v>
      </c>
      <c r="L115" s="321">
        <f>Données!L115</f>
        <v>-35078.17</v>
      </c>
      <c r="M115" s="321">
        <f>Données!M115</f>
        <v>-1150</v>
      </c>
      <c r="N115" s="321">
        <f>Données!N115</f>
        <v>81602.816072740359</v>
      </c>
      <c r="O115" s="321">
        <f>Données!O115</f>
        <v>405193.55</v>
      </c>
      <c r="P115" s="321">
        <f>Données!P115</f>
        <v>389535.51</v>
      </c>
      <c r="Q115" s="321">
        <f>Données!Q115</f>
        <v>50212.45</v>
      </c>
      <c r="R115" s="321">
        <f>Données!R115</f>
        <v>-55499.1</v>
      </c>
      <c r="S115" s="313"/>
      <c r="T115" s="302">
        <f t="shared" si="6"/>
        <v>8476630.0346917044</v>
      </c>
      <c r="U115" s="322">
        <f t="shared" si="7"/>
        <v>578847.92857142864</v>
      </c>
      <c r="V115" s="322">
        <f t="shared" si="8"/>
        <v>384248.86000000004</v>
      </c>
      <c r="W115" s="323">
        <f t="shared" si="9"/>
        <v>9439726.8232631329</v>
      </c>
      <c r="X115" s="302">
        <f t="shared" si="10"/>
        <v>6243.2055709412252</v>
      </c>
      <c r="Y115" s="324">
        <f t="shared" si="11"/>
        <v>1.868991188780424</v>
      </c>
    </row>
    <row r="116" spans="1:25" x14ac:dyDescent="0.25">
      <c r="A116" s="148">
        <f>Données!A116</f>
        <v>5589</v>
      </c>
      <c r="B116" s="156" t="str">
        <f>Données!B116</f>
        <v>Prilly</v>
      </c>
      <c r="C116" s="318">
        <f>Données!C116</f>
        <v>12766</v>
      </c>
      <c r="D116" s="319">
        <f>Données!D116</f>
        <v>72.5</v>
      </c>
      <c r="E116" s="320">
        <f>Données!E116</f>
        <v>1.3</v>
      </c>
      <c r="F116" s="321">
        <f>Données!F116</f>
        <v>20674422.289999999</v>
      </c>
      <c r="G116" s="321">
        <f>Données!G116</f>
        <v>2279423.0699999998</v>
      </c>
      <c r="H116" s="321">
        <f>Données!H116</f>
        <v>3938244.85</v>
      </c>
      <c r="I116" s="321">
        <f>Données!I116</f>
        <v>425855.3</v>
      </c>
      <c r="J116" s="321">
        <f>Données!J116</f>
        <v>41457.800000000003</v>
      </c>
      <c r="K116" s="321">
        <f>Données!K116</f>
        <v>133991.26999999999</v>
      </c>
      <c r="L116" s="321">
        <f>Données!L116</f>
        <v>-412325.2</v>
      </c>
      <c r="M116" s="321">
        <f>Données!M116</f>
        <v>-37079</v>
      </c>
      <c r="N116" s="321">
        <f>Données!N116</f>
        <v>430820.65868802625</v>
      </c>
      <c r="O116" s="321">
        <f>Données!O116</f>
        <v>3250037.55</v>
      </c>
      <c r="P116" s="321">
        <f>Données!P116</f>
        <v>1356058.65</v>
      </c>
      <c r="Q116" s="321">
        <f>Données!Q116</f>
        <v>733186.4</v>
      </c>
      <c r="R116" s="321">
        <f>Données!R116</f>
        <v>-6712.2</v>
      </c>
      <c r="S116" s="313"/>
      <c r="T116" s="302">
        <f t="shared" si="6"/>
        <v>25573887.128645245</v>
      </c>
      <c r="U116" s="322">
        <f t="shared" si="7"/>
        <v>2500028.8846153845</v>
      </c>
      <c r="V116" s="322">
        <f t="shared" si="8"/>
        <v>2082532.8499999999</v>
      </c>
      <c r="W116" s="323">
        <f t="shared" si="9"/>
        <v>30156448.863260631</v>
      </c>
      <c r="X116" s="302">
        <f t="shared" si="10"/>
        <v>2362.2472867977935</v>
      </c>
      <c r="Y116" s="324">
        <f t="shared" si="11"/>
        <v>0.70717187101688395</v>
      </c>
    </row>
    <row r="117" spans="1:25" x14ac:dyDescent="0.25">
      <c r="A117" s="148">
        <f>Données!A117</f>
        <v>5590</v>
      </c>
      <c r="B117" s="156" t="str">
        <f>Données!B117</f>
        <v>Pully</v>
      </c>
      <c r="C117" s="318">
        <f>Données!C117</f>
        <v>19545</v>
      </c>
      <c r="D117" s="319">
        <f>Données!D117</f>
        <v>61</v>
      </c>
      <c r="E117" s="320">
        <f>Données!E117</f>
        <v>0.7</v>
      </c>
      <c r="F117" s="321">
        <f>Données!F117</f>
        <v>61920604.420000002</v>
      </c>
      <c r="G117" s="321">
        <f>Données!G117</f>
        <v>17581907.670000002</v>
      </c>
      <c r="H117" s="321">
        <f>Données!H117</f>
        <v>10444043.199999999</v>
      </c>
      <c r="I117" s="321">
        <f>Données!I117</f>
        <v>1308273.6499999999</v>
      </c>
      <c r="J117" s="321">
        <f>Données!J117</f>
        <v>2795829.37</v>
      </c>
      <c r="K117" s="321">
        <f>Données!K117</f>
        <v>80856.44</v>
      </c>
      <c r="L117" s="321">
        <f>Données!L117</f>
        <v>-524514.77</v>
      </c>
      <c r="M117" s="321">
        <f>Données!M117</f>
        <v>-9382</v>
      </c>
      <c r="N117" s="321">
        <f>Données!N117</f>
        <v>1160179.8108201961</v>
      </c>
      <c r="O117" s="321">
        <f>Données!O117</f>
        <v>4082169.45</v>
      </c>
      <c r="P117" s="321">
        <f>Données!P117</f>
        <v>1217497.53</v>
      </c>
      <c r="Q117" s="321">
        <f>Données!Q117</f>
        <v>507624.85</v>
      </c>
      <c r="R117" s="321">
        <f>Données!R117</f>
        <v>-418804.27</v>
      </c>
      <c r="S117" s="313"/>
      <c r="T117" s="302">
        <f t="shared" si="6"/>
        <v>104829897.32421081</v>
      </c>
      <c r="U117" s="322">
        <f t="shared" si="7"/>
        <v>5831670.6428571437</v>
      </c>
      <c r="V117" s="322">
        <f t="shared" si="8"/>
        <v>1306318.1099999999</v>
      </c>
      <c r="W117" s="323">
        <f t="shared" si="9"/>
        <v>111967886.07706796</v>
      </c>
      <c r="X117" s="302">
        <f t="shared" si="10"/>
        <v>5728.7227463324616</v>
      </c>
      <c r="Y117" s="324">
        <f t="shared" si="11"/>
        <v>1.7149735363026315</v>
      </c>
    </row>
    <row r="118" spans="1:25" x14ac:dyDescent="0.25">
      <c r="A118" s="148">
        <f>Données!A118</f>
        <v>5591</v>
      </c>
      <c r="B118" s="156" t="str">
        <f>Données!B118</f>
        <v>Renens</v>
      </c>
      <c r="C118" s="318">
        <f>Données!C118</f>
        <v>21568</v>
      </c>
      <c r="D118" s="319">
        <f>Données!D118</f>
        <v>77</v>
      </c>
      <c r="E118" s="320">
        <f>Données!E118</f>
        <v>1.4</v>
      </c>
      <c r="F118" s="321">
        <f>Données!F118</f>
        <v>29062449.09</v>
      </c>
      <c r="G118" s="321">
        <f>Données!G118</f>
        <v>3021690.54</v>
      </c>
      <c r="H118" s="321">
        <f>Données!H118</f>
        <v>8038078.8499999996</v>
      </c>
      <c r="I118" s="321">
        <f>Données!I118</f>
        <v>603882.65</v>
      </c>
      <c r="J118" s="321">
        <f>Données!J118</f>
        <v>0</v>
      </c>
      <c r="K118" s="321">
        <f>Données!K118</f>
        <v>801053.57</v>
      </c>
      <c r="L118" s="321">
        <f>Données!L118</f>
        <v>-1748786.41</v>
      </c>
      <c r="M118" s="321">
        <f>Données!M118</f>
        <v>-36817.279999999999</v>
      </c>
      <c r="N118" s="321">
        <f>Données!N118</f>
        <v>853127.88841167244</v>
      </c>
      <c r="O118" s="321">
        <f>Données!O118</f>
        <v>5911385.6500000004</v>
      </c>
      <c r="P118" s="321">
        <f>Données!P118</f>
        <v>2691592.72</v>
      </c>
      <c r="Q118" s="321">
        <f>Données!Q118</f>
        <v>778327.8</v>
      </c>
      <c r="R118" s="321">
        <f>Données!R118</f>
        <v>-12462.05</v>
      </c>
      <c r="S118" s="313"/>
      <c r="T118" s="302">
        <f t="shared" si="6"/>
        <v>35577745.30772081</v>
      </c>
      <c r="U118" s="322">
        <f t="shared" si="7"/>
        <v>4222418.3214285718</v>
      </c>
      <c r="V118" s="322">
        <f t="shared" si="8"/>
        <v>3457458.4700000007</v>
      </c>
      <c r="W118" s="323">
        <f t="shared" si="9"/>
        <v>43257622.099149384</v>
      </c>
      <c r="X118" s="302">
        <f t="shared" si="10"/>
        <v>2005.6390068225789</v>
      </c>
      <c r="Y118" s="324">
        <f t="shared" si="11"/>
        <v>0.60041617868120167</v>
      </c>
    </row>
    <row r="119" spans="1:25" x14ac:dyDescent="0.25">
      <c r="A119" s="148">
        <f>Données!A119</f>
        <v>5592</v>
      </c>
      <c r="B119" s="156" t="str">
        <f>Données!B119</f>
        <v>Romanel-sur-Lausanne</v>
      </c>
      <c r="C119" s="318">
        <f>Données!C119</f>
        <v>4325</v>
      </c>
      <c r="D119" s="319">
        <f>Données!D119</f>
        <v>70.5</v>
      </c>
      <c r="E119" s="320">
        <f>Données!E119</f>
        <v>1.25</v>
      </c>
      <c r="F119" s="321">
        <f>Données!F119</f>
        <v>7295330.8499999996</v>
      </c>
      <c r="G119" s="321">
        <f>Données!G119</f>
        <v>942381.27</v>
      </c>
      <c r="H119" s="321">
        <f>Données!H119</f>
        <v>635158.15</v>
      </c>
      <c r="I119" s="321">
        <f>Données!I119</f>
        <v>68643.8</v>
      </c>
      <c r="J119" s="321">
        <f>Données!J119</f>
        <v>0</v>
      </c>
      <c r="K119" s="321">
        <f>Données!K119</f>
        <v>42061.35</v>
      </c>
      <c r="L119" s="321">
        <f>Données!L119</f>
        <v>-126964.29</v>
      </c>
      <c r="M119" s="321">
        <f>Données!M119</f>
        <v>-6262.66</v>
      </c>
      <c r="N119" s="321">
        <f>Données!N119</f>
        <v>69478.795000824466</v>
      </c>
      <c r="O119" s="321">
        <f>Données!O119</f>
        <v>1108655.6499999999</v>
      </c>
      <c r="P119" s="321">
        <f>Données!P119</f>
        <v>361464.79</v>
      </c>
      <c r="Q119" s="321">
        <f>Données!Q119</f>
        <v>187600.3</v>
      </c>
      <c r="R119" s="321">
        <f>Données!R119</f>
        <v>-7075.24</v>
      </c>
      <c r="S119" s="313"/>
      <c r="T119" s="302">
        <f t="shared" si="6"/>
        <v>8538220.4486016165</v>
      </c>
      <c r="U119" s="322">
        <f t="shared" si="7"/>
        <v>886924.5199999999</v>
      </c>
      <c r="V119" s="322">
        <f t="shared" si="8"/>
        <v>541989.85</v>
      </c>
      <c r="W119" s="323">
        <f t="shared" si="9"/>
        <v>9967134.8186016157</v>
      </c>
      <c r="X119" s="302">
        <f t="shared" si="10"/>
        <v>2304.5398424512405</v>
      </c>
      <c r="Y119" s="324">
        <f t="shared" si="11"/>
        <v>0.68989633783361826</v>
      </c>
    </row>
    <row r="120" spans="1:25" x14ac:dyDescent="0.25">
      <c r="A120" s="148">
        <f>Données!A120</f>
        <v>5601</v>
      </c>
      <c r="B120" s="156" t="str">
        <f>Données!B120</f>
        <v>Chexbres</v>
      </c>
      <c r="C120" s="318">
        <f>Données!C120</f>
        <v>2263</v>
      </c>
      <c r="D120" s="319">
        <f>Données!D120</f>
        <v>67.5</v>
      </c>
      <c r="E120" s="320">
        <f>Données!E120</f>
        <v>1</v>
      </c>
      <c r="F120" s="321">
        <f>Données!F120</f>
        <v>5660873.5599999996</v>
      </c>
      <c r="G120" s="321">
        <f>Données!G120</f>
        <v>1066789.3</v>
      </c>
      <c r="H120" s="321">
        <f>Données!H120</f>
        <v>94215.75</v>
      </c>
      <c r="I120" s="321">
        <f>Données!I120</f>
        <v>17065.900000000001</v>
      </c>
      <c r="J120" s="321">
        <f>Données!J120</f>
        <v>0</v>
      </c>
      <c r="K120" s="321">
        <f>Données!K120</f>
        <v>5544.05</v>
      </c>
      <c r="L120" s="321">
        <f>Données!L120</f>
        <v>-34012.589999999997</v>
      </c>
      <c r="M120" s="321">
        <f>Données!M120</f>
        <v>-650</v>
      </c>
      <c r="N120" s="321">
        <f>Données!N120</f>
        <v>10985.640133141855</v>
      </c>
      <c r="O120" s="321">
        <f>Données!O120</f>
        <v>531118.25</v>
      </c>
      <c r="P120" s="321">
        <f>Données!P120</f>
        <v>160341.42000000001</v>
      </c>
      <c r="Q120" s="321">
        <f>Données!Q120</f>
        <v>-11550.65</v>
      </c>
      <c r="R120" s="321">
        <f>Données!R120</f>
        <v>-8264.7800000000007</v>
      </c>
      <c r="S120" s="313"/>
      <c r="T120" s="302">
        <f t="shared" si="6"/>
        <v>6819182.5730073154</v>
      </c>
      <c r="U120" s="322">
        <f t="shared" si="7"/>
        <v>531118.25</v>
      </c>
      <c r="V120" s="322">
        <f t="shared" si="8"/>
        <v>140525.99000000002</v>
      </c>
      <c r="W120" s="323">
        <f t="shared" si="9"/>
        <v>7490826.8130073156</v>
      </c>
      <c r="X120" s="302">
        <f t="shared" si="10"/>
        <v>3310.1311590840987</v>
      </c>
      <c r="Y120" s="324">
        <f t="shared" si="11"/>
        <v>0.99093420835460655</v>
      </c>
    </row>
    <row r="121" spans="1:25" x14ac:dyDescent="0.25">
      <c r="A121" s="148">
        <f>Données!A121</f>
        <v>5604</v>
      </c>
      <c r="B121" s="156" t="str">
        <f>Données!B121</f>
        <v>Forel (Lavaux)</v>
      </c>
      <c r="C121" s="318">
        <f>Données!C121</f>
        <v>2088</v>
      </c>
      <c r="D121" s="319">
        <f>Données!D121</f>
        <v>69</v>
      </c>
      <c r="E121" s="320">
        <f>Données!E121</f>
        <v>1</v>
      </c>
      <c r="F121" s="321">
        <f>Données!F121</f>
        <v>3566678.85</v>
      </c>
      <c r="G121" s="321">
        <f>Données!G121</f>
        <v>688077.38</v>
      </c>
      <c r="H121" s="321">
        <f>Données!H121</f>
        <v>270647.40000000002</v>
      </c>
      <c r="I121" s="321">
        <f>Données!I121</f>
        <v>11126.6</v>
      </c>
      <c r="J121" s="321">
        <f>Données!J121</f>
        <v>0</v>
      </c>
      <c r="K121" s="321">
        <f>Données!K121</f>
        <v>56302.93</v>
      </c>
      <c r="L121" s="321">
        <f>Données!L121</f>
        <v>-53283.07</v>
      </c>
      <c r="M121" s="321">
        <f>Données!M121</f>
        <v>-1416.66</v>
      </c>
      <c r="N121" s="321">
        <f>Données!N121</f>
        <v>27816.51568678136</v>
      </c>
      <c r="O121" s="321">
        <f>Données!O121</f>
        <v>443449.59999999998</v>
      </c>
      <c r="P121" s="321">
        <f>Données!P121</f>
        <v>75494.09</v>
      </c>
      <c r="Q121" s="321">
        <f>Données!Q121</f>
        <v>33170.15</v>
      </c>
      <c r="R121" s="321">
        <f>Données!R121</f>
        <v>-6296.83</v>
      </c>
      <c r="S121" s="313"/>
      <c r="T121" s="302">
        <f t="shared" si="6"/>
        <v>4465623.3697887287</v>
      </c>
      <c r="U121" s="322">
        <f t="shared" si="7"/>
        <v>443449.59999999998</v>
      </c>
      <c r="V121" s="322">
        <f t="shared" si="8"/>
        <v>102367.40999999999</v>
      </c>
      <c r="W121" s="323">
        <f t="shared" si="9"/>
        <v>5011440.3797887284</v>
      </c>
      <c r="X121" s="302">
        <f t="shared" si="10"/>
        <v>2400.1151244198891</v>
      </c>
      <c r="Y121" s="324">
        <f t="shared" si="11"/>
        <v>0.71850813954907555</v>
      </c>
    </row>
    <row r="122" spans="1:25" x14ac:dyDescent="0.25">
      <c r="A122" s="148">
        <f>Données!A122</f>
        <v>5606</v>
      </c>
      <c r="B122" s="156" t="str">
        <f>Données!B122</f>
        <v>Lutry</v>
      </c>
      <c r="C122" s="318">
        <f>Données!C122</f>
        <v>10750</v>
      </c>
      <c r="D122" s="319">
        <f>Données!D122</f>
        <v>54</v>
      </c>
      <c r="E122" s="320">
        <f>Données!E122</f>
        <v>0.7</v>
      </c>
      <c r="F122" s="321">
        <f>Données!F122</f>
        <v>32919997.379999999</v>
      </c>
      <c r="G122" s="321">
        <f>Données!G122</f>
        <v>9341242.8699999992</v>
      </c>
      <c r="H122" s="321">
        <f>Données!H122</f>
        <v>1314401.3500000001</v>
      </c>
      <c r="I122" s="321">
        <f>Données!I122</f>
        <v>2589866.2999999998</v>
      </c>
      <c r="J122" s="321">
        <f>Données!J122</f>
        <v>1436146.26</v>
      </c>
      <c r="K122" s="321">
        <f>Données!K122</f>
        <v>123575.82</v>
      </c>
      <c r="L122" s="321">
        <f>Données!L122</f>
        <v>-414761.94</v>
      </c>
      <c r="M122" s="321">
        <f>Données!M122</f>
        <v>-2084</v>
      </c>
      <c r="N122" s="321">
        <f>Données!N122</f>
        <v>385426.34285497596</v>
      </c>
      <c r="O122" s="321">
        <f>Données!O122</f>
        <v>2535474.65</v>
      </c>
      <c r="P122" s="321">
        <f>Données!P122</f>
        <v>981714.27</v>
      </c>
      <c r="Q122" s="321">
        <f>Données!Q122</f>
        <v>218366.5</v>
      </c>
      <c r="R122" s="321">
        <f>Données!R122</f>
        <v>-287189.69</v>
      </c>
      <c r="S122" s="313"/>
      <c r="T122" s="302">
        <f t="shared" si="6"/>
        <v>59603024.389338672</v>
      </c>
      <c r="U122" s="322">
        <f t="shared" si="7"/>
        <v>3622106.6428571427</v>
      </c>
      <c r="V122" s="322">
        <f t="shared" si="8"/>
        <v>912891.08000000007</v>
      </c>
      <c r="W122" s="323">
        <f t="shared" si="9"/>
        <v>64138022.112195812</v>
      </c>
      <c r="X122" s="302">
        <f t="shared" si="10"/>
        <v>5966.3276383437969</v>
      </c>
      <c r="Y122" s="324">
        <f t="shared" si="11"/>
        <v>1.7861038946632901</v>
      </c>
    </row>
    <row r="123" spans="1:25" x14ac:dyDescent="0.25">
      <c r="A123" s="148">
        <f>Données!A123</f>
        <v>5607</v>
      </c>
      <c r="B123" s="156" t="str">
        <f>Données!B123</f>
        <v>Puidoux</v>
      </c>
      <c r="C123" s="318">
        <f>Données!C123</f>
        <v>2976</v>
      </c>
      <c r="D123" s="319">
        <f>Données!D123</f>
        <v>68.5</v>
      </c>
      <c r="E123" s="320">
        <f>Données!E123</f>
        <v>1.1499999999999999</v>
      </c>
      <c r="F123" s="321">
        <f>Données!F123</f>
        <v>5497339.0199999996</v>
      </c>
      <c r="G123" s="321">
        <f>Données!G123</f>
        <v>974887.98</v>
      </c>
      <c r="H123" s="321">
        <f>Données!H123</f>
        <v>1449361.5</v>
      </c>
      <c r="I123" s="321">
        <f>Données!I123</f>
        <v>264796.65000000002</v>
      </c>
      <c r="J123" s="321">
        <f>Données!J123</f>
        <v>11.45</v>
      </c>
      <c r="K123" s="321">
        <f>Données!K123</f>
        <v>4373.21</v>
      </c>
      <c r="L123" s="321">
        <f>Données!L123</f>
        <v>-80267.149999999994</v>
      </c>
      <c r="M123" s="321">
        <f>Données!M123</f>
        <v>-3883</v>
      </c>
      <c r="N123" s="321">
        <f>Données!N123</f>
        <v>169220.39318425092</v>
      </c>
      <c r="O123" s="321">
        <f>Données!O123</f>
        <v>964677.05</v>
      </c>
      <c r="P123" s="321">
        <f>Données!P123</f>
        <v>138733.53</v>
      </c>
      <c r="Q123" s="321">
        <f>Données!Q123</f>
        <v>119426.25</v>
      </c>
      <c r="R123" s="321">
        <f>Données!R123</f>
        <v>-4302.43</v>
      </c>
      <c r="S123" s="313"/>
      <c r="T123" s="302">
        <f t="shared" si="6"/>
        <v>8153077.1782092527</v>
      </c>
      <c r="U123" s="322">
        <f t="shared" si="7"/>
        <v>838849.60869565234</v>
      </c>
      <c r="V123" s="322">
        <f t="shared" si="8"/>
        <v>253857.35</v>
      </c>
      <c r="W123" s="323">
        <f t="shared" si="9"/>
        <v>9245784.1369049046</v>
      </c>
      <c r="X123" s="302">
        <f t="shared" si="10"/>
        <v>3106.7823040675084</v>
      </c>
      <c r="Y123" s="324">
        <f t="shared" si="11"/>
        <v>0.93005887532960452</v>
      </c>
    </row>
    <row r="124" spans="1:25" x14ac:dyDescent="0.25">
      <c r="A124" s="148">
        <f>Données!A124</f>
        <v>5609</v>
      </c>
      <c r="B124" s="156" t="str">
        <f>Données!B124</f>
        <v>Rivaz</v>
      </c>
      <c r="C124" s="318">
        <f>Données!C124</f>
        <v>329</v>
      </c>
      <c r="D124" s="319">
        <f>Données!D124</f>
        <v>62</v>
      </c>
      <c r="E124" s="320">
        <f>Données!E124</f>
        <v>1</v>
      </c>
      <c r="F124" s="321">
        <f>Données!F124</f>
        <v>698488.63</v>
      </c>
      <c r="G124" s="321">
        <f>Données!G124</f>
        <v>158017.29999999999</v>
      </c>
      <c r="H124" s="321">
        <f>Données!H124</f>
        <v>17619.75</v>
      </c>
      <c r="I124" s="321">
        <f>Données!I124</f>
        <v>724.6</v>
      </c>
      <c r="J124" s="321">
        <f>Données!J124</f>
        <v>0</v>
      </c>
      <c r="K124" s="321">
        <f>Données!K124</f>
        <v>0</v>
      </c>
      <c r="L124" s="321">
        <f>Données!L124</f>
        <v>-1316.48</v>
      </c>
      <c r="M124" s="321">
        <f>Données!M124</f>
        <v>-50</v>
      </c>
      <c r="N124" s="321">
        <f>Données!N124</f>
        <v>1810.9403264275895</v>
      </c>
      <c r="O124" s="321">
        <f>Données!O124</f>
        <v>64939.3</v>
      </c>
      <c r="P124" s="321">
        <f>Données!P124</f>
        <v>26750.71</v>
      </c>
      <c r="Q124" s="321">
        <f>Données!Q124</f>
        <v>1050.4000000000001</v>
      </c>
      <c r="R124" s="321">
        <f>Données!R124</f>
        <v>-428.86</v>
      </c>
      <c r="S124" s="313"/>
      <c r="T124" s="302">
        <f t="shared" si="6"/>
        <v>952714.26011466142</v>
      </c>
      <c r="U124" s="322">
        <f t="shared" si="7"/>
        <v>64939.3</v>
      </c>
      <c r="V124" s="322">
        <f t="shared" si="8"/>
        <v>27372.25</v>
      </c>
      <c r="W124" s="323">
        <f t="shared" si="9"/>
        <v>1045025.8101146615</v>
      </c>
      <c r="X124" s="302">
        <f t="shared" si="10"/>
        <v>3176.3702435096093</v>
      </c>
      <c r="Y124" s="324">
        <f t="shared" si="11"/>
        <v>0.95089100142009053</v>
      </c>
    </row>
    <row r="125" spans="1:25" x14ac:dyDescent="0.25">
      <c r="A125" s="148">
        <f>Données!A125</f>
        <v>5610</v>
      </c>
      <c r="B125" s="156" t="str">
        <f>Données!B125</f>
        <v>St-Saphorin (Lavaux)</v>
      </c>
      <c r="C125" s="318">
        <f>Données!C125</f>
        <v>389</v>
      </c>
      <c r="D125" s="319">
        <f>Données!D125</f>
        <v>74</v>
      </c>
      <c r="E125" s="320">
        <f>Données!E125</f>
        <v>1.2</v>
      </c>
      <c r="F125" s="321">
        <f>Données!F125</f>
        <v>1082409.18</v>
      </c>
      <c r="G125" s="321">
        <f>Données!G125</f>
        <v>101834.34</v>
      </c>
      <c r="H125" s="321">
        <f>Données!H125</f>
        <v>16012.25</v>
      </c>
      <c r="I125" s="321">
        <f>Données!I125</f>
        <v>3752.8</v>
      </c>
      <c r="J125" s="321">
        <f>Données!J125</f>
        <v>719.45</v>
      </c>
      <c r="K125" s="321">
        <f>Données!K125</f>
        <v>1127.55</v>
      </c>
      <c r="L125" s="321">
        <f>Données!L125</f>
        <v>-7667.65</v>
      </c>
      <c r="M125" s="321">
        <f>Données!M125</f>
        <v>-1950</v>
      </c>
      <c r="N125" s="321">
        <f>Données!N125</f>
        <v>1951.1907534939985</v>
      </c>
      <c r="O125" s="321">
        <f>Données!O125</f>
        <v>131464.35</v>
      </c>
      <c r="P125" s="321">
        <f>Données!P125</f>
        <v>-5028.79</v>
      </c>
      <c r="Q125" s="321">
        <f>Données!Q125</f>
        <v>6811.15</v>
      </c>
      <c r="R125" s="321">
        <f>Données!R125</f>
        <v>-2327.38</v>
      </c>
      <c r="S125" s="313"/>
      <c r="T125" s="302">
        <f t="shared" si="6"/>
        <v>1092681.7387867181</v>
      </c>
      <c r="U125" s="322">
        <f t="shared" si="7"/>
        <v>109553.62500000001</v>
      </c>
      <c r="V125" s="322">
        <f t="shared" si="8"/>
        <v>-545.02000000000044</v>
      </c>
      <c r="W125" s="323">
        <f t="shared" si="9"/>
        <v>1201690.3437867181</v>
      </c>
      <c r="X125" s="302">
        <f t="shared" si="10"/>
        <v>3089.1782616625142</v>
      </c>
      <c r="Y125" s="324">
        <f t="shared" si="11"/>
        <v>0.9247888582257322</v>
      </c>
    </row>
    <row r="126" spans="1:25" x14ac:dyDescent="0.25">
      <c r="A126" s="148">
        <f>Données!A126</f>
        <v>5611</v>
      </c>
      <c r="B126" s="156" t="str">
        <f>Données!B126</f>
        <v>Savigny</v>
      </c>
      <c r="C126" s="318">
        <f>Données!C126</f>
        <v>3506</v>
      </c>
      <c r="D126" s="319">
        <f>Données!D126</f>
        <v>69</v>
      </c>
      <c r="E126" s="320">
        <f>Données!E126</f>
        <v>1.2</v>
      </c>
      <c r="F126" s="321">
        <f>Données!F126</f>
        <v>7811113.75</v>
      </c>
      <c r="G126" s="321">
        <f>Données!G126</f>
        <v>1725000.86</v>
      </c>
      <c r="H126" s="321">
        <f>Données!H126</f>
        <v>257500.15</v>
      </c>
      <c r="I126" s="321">
        <f>Données!I126</f>
        <v>49548.2</v>
      </c>
      <c r="J126" s="321">
        <f>Données!J126</f>
        <v>123283.4</v>
      </c>
      <c r="K126" s="321">
        <f>Données!K126</f>
        <v>28219.57</v>
      </c>
      <c r="L126" s="321">
        <f>Données!L126</f>
        <v>-104215.56</v>
      </c>
      <c r="M126" s="321">
        <f>Données!M126</f>
        <v>-3717</v>
      </c>
      <c r="N126" s="321">
        <f>Données!N126</f>
        <v>30311.580360059244</v>
      </c>
      <c r="O126" s="321">
        <f>Données!O126</f>
        <v>890042.2</v>
      </c>
      <c r="P126" s="321">
        <f>Données!P126</f>
        <v>175740.15</v>
      </c>
      <c r="Q126" s="321">
        <f>Données!Q126</f>
        <v>28953.5</v>
      </c>
      <c r="R126" s="321">
        <f>Données!R126</f>
        <v>-13036.15</v>
      </c>
      <c r="S126" s="313"/>
      <c r="T126" s="302">
        <f t="shared" si="6"/>
        <v>9699139.9854060356</v>
      </c>
      <c r="U126" s="322">
        <f t="shared" si="7"/>
        <v>741701.83333333337</v>
      </c>
      <c r="V126" s="322">
        <f t="shared" si="8"/>
        <v>191657.5</v>
      </c>
      <c r="W126" s="323">
        <f t="shared" si="9"/>
        <v>10632499.31873937</v>
      </c>
      <c r="X126" s="302">
        <f t="shared" si="10"/>
        <v>3032.6581057442581</v>
      </c>
      <c r="Y126" s="324">
        <f t="shared" si="11"/>
        <v>0.90786875649283494</v>
      </c>
    </row>
    <row r="127" spans="1:25" x14ac:dyDescent="0.25">
      <c r="A127" s="148">
        <f>Données!A127</f>
        <v>5613</v>
      </c>
      <c r="B127" s="156" t="str">
        <f>Données!B127</f>
        <v>Bourg-en-Lavaux</v>
      </c>
      <c r="C127" s="318">
        <f>Données!C127</f>
        <v>5465</v>
      </c>
      <c r="D127" s="319">
        <f>Données!D127</f>
        <v>62.5</v>
      </c>
      <c r="E127" s="320">
        <f>Données!E127</f>
        <v>1.5</v>
      </c>
      <c r="F127" s="321">
        <f>Données!F127</f>
        <v>16013799.77</v>
      </c>
      <c r="G127" s="321">
        <f>Données!G127</f>
        <v>4069813.77</v>
      </c>
      <c r="H127" s="321">
        <f>Données!H127</f>
        <v>240585.1</v>
      </c>
      <c r="I127" s="321">
        <f>Données!I127</f>
        <v>53926.35</v>
      </c>
      <c r="J127" s="321">
        <f>Données!J127</f>
        <v>199848.82</v>
      </c>
      <c r="K127" s="321">
        <f>Données!K127</f>
        <v>27445.13</v>
      </c>
      <c r="L127" s="321">
        <f>Données!L127</f>
        <v>-120252.91</v>
      </c>
      <c r="M127" s="321">
        <f>Données!M127</f>
        <v>-4000</v>
      </c>
      <c r="N127" s="321">
        <f>Données!N127</f>
        <v>29073.947095408821</v>
      </c>
      <c r="O127" s="321">
        <f>Données!O127</f>
        <v>2523743.75</v>
      </c>
      <c r="P127" s="321">
        <f>Données!P127</f>
        <v>479887.92</v>
      </c>
      <c r="Q127" s="321">
        <f>Données!Q127</f>
        <v>41653.949999999997</v>
      </c>
      <c r="R127" s="321">
        <f>Données!R127</f>
        <v>-75604.800000000003</v>
      </c>
      <c r="S127" s="313"/>
      <c r="T127" s="302">
        <f t="shared" si="6"/>
        <v>22145768.764116183</v>
      </c>
      <c r="U127" s="322">
        <f t="shared" si="7"/>
        <v>1682495.8333333333</v>
      </c>
      <c r="V127" s="322">
        <f t="shared" si="8"/>
        <v>445937.07</v>
      </c>
      <c r="W127" s="323">
        <f t="shared" si="9"/>
        <v>24274201.667449515</v>
      </c>
      <c r="X127" s="302">
        <f t="shared" si="10"/>
        <v>4441.7569382341289</v>
      </c>
      <c r="Y127" s="324">
        <f t="shared" si="11"/>
        <v>1.3297022636741964</v>
      </c>
    </row>
    <row r="128" spans="1:25" x14ac:dyDescent="0.25">
      <c r="A128" s="148">
        <f>Données!A128</f>
        <v>5621</v>
      </c>
      <c r="B128" s="156" t="str">
        <f>Données!B128</f>
        <v>Aclens</v>
      </c>
      <c r="C128" s="318">
        <f>Données!C128</f>
        <v>587</v>
      </c>
      <c r="D128" s="319">
        <f>Données!D128</f>
        <v>60</v>
      </c>
      <c r="E128" s="320">
        <f>Données!E128</f>
        <v>1.1000000000000001</v>
      </c>
      <c r="F128" s="321">
        <f>Données!F128</f>
        <v>1201953.3500000001</v>
      </c>
      <c r="G128" s="321">
        <f>Données!G128</f>
        <v>130176.71</v>
      </c>
      <c r="H128" s="321">
        <f>Données!H128</f>
        <v>136614.1</v>
      </c>
      <c r="I128" s="321">
        <f>Données!I128</f>
        <v>6938.2</v>
      </c>
      <c r="J128" s="321">
        <f>Données!J128</f>
        <v>0</v>
      </c>
      <c r="K128" s="321">
        <f>Données!K128</f>
        <v>2979.81</v>
      </c>
      <c r="L128" s="321">
        <f>Données!L128</f>
        <v>-9007.27</v>
      </c>
      <c r="M128" s="321">
        <f>Données!M128</f>
        <v>0</v>
      </c>
      <c r="N128" s="321">
        <f>Données!N128</f>
        <v>14171.374239012628</v>
      </c>
      <c r="O128" s="321">
        <f>Données!O128</f>
        <v>346048.25</v>
      </c>
      <c r="P128" s="321">
        <f>Données!P128</f>
        <v>43709.41</v>
      </c>
      <c r="Q128" s="321">
        <f>Données!Q128</f>
        <v>34856.199999999997</v>
      </c>
      <c r="R128" s="321">
        <f>Données!R128</f>
        <v>-196</v>
      </c>
      <c r="S128" s="313"/>
      <c r="T128" s="302">
        <f t="shared" si="6"/>
        <v>1668905.8729583472</v>
      </c>
      <c r="U128" s="322">
        <f t="shared" si="7"/>
        <v>314589.31818181818</v>
      </c>
      <c r="V128" s="322">
        <f t="shared" si="8"/>
        <v>78369.61</v>
      </c>
      <c r="W128" s="323">
        <f t="shared" si="9"/>
        <v>2061864.8011401654</v>
      </c>
      <c r="X128" s="302">
        <f t="shared" si="10"/>
        <v>3512.546509608459</v>
      </c>
      <c r="Y128" s="324">
        <f t="shared" si="11"/>
        <v>1.0515300837114541</v>
      </c>
    </row>
    <row r="129" spans="1:25" x14ac:dyDescent="0.25">
      <c r="A129" s="148">
        <f>Données!A129</f>
        <v>5622</v>
      </c>
      <c r="B129" s="156" t="str">
        <f>Données!B129</f>
        <v>Bremblens</v>
      </c>
      <c r="C129" s="318">
        <f>Données!C129</f>
        <v>615</v>
      </c>
      <c r="D129" s="319">
        <f>Données!D129</f>
        <v>68</v>
      </c>
      <c r="E129" s="320">
        <f>Données!E129</f>
        <v>1</v>
      </c>
      <c r="F129" s="321">
        <f>Données!F129</f>
        <v>1478842.63</v>
      </c>
      <c r="G129" s="321">
        <f>Données!G129</f>
        <v>305289.31</v>
      </c>
      <c r="H129" s="321">
        <f>Données!H129</f>
        <v>56632.4</v>
      </c>
      <c r="I129" s="321">
        <f>Données!I129</f>
        <v>1151.5</v>
      </c>
      <c r="J129" s="321">
        <f>Données!J129</f>
        <v>0</v>
      </c>
      <c r="K129" s="321">
        <f>Données!K129</f>
        <v>1641.12</v>
      </c>
      <c r="L129" s="321">
        <f>Données!L129</f>
        <v>-23728.23</v>
      </c>
      <c r="M129" s="321">
        <f>Données!M129</f>
        <v>-200</v>
      </c>
      <c r="N129" s="321">
        <f>Données!N129</f>
        <v>5704.3828060552269</v>
      </c>
      <c r="O129" s="321">
        <f>Données!O129</f>
        <v>166780.5</v>
      </c>
      <c r="P129" s="321">
        <f>Données!P129</f>
        <v>16852.740000000002</v>
      </c>
      <c r="Q129" s="321">
        <f>Données!Q129</f>
        <v>7305.7</v>
      </c>
      <c r="R129" s="321">
        <f>Données!R129</f>
        <v>-456.3</v>
      </c>
      <c r="S129" s="313"/>
      <c r="T129" s="302">
        <f t="shared" si="6"/>
        <v>1811478.800938441</v>
      </c>
      <c r="U129" s="322">
        <f t="shared" si="7"/>
        <v>166780.5</v>
      </c>
      <c r="V129" s="322">
        <f t="shared" si="8"/>
        <v>23702.140000000003</v>
      </c>
      <c r="W129" s="323">
        <f t="shared" si="9"/>
        <v>2001961.4409384409</v>
      </c>
      <c r="X129" s="302">
        <f t="shared" si="10"/>
        <v>3255.2218551844567</v>
      </c>
      <c r="Y129" s="324">
        <f t="shared" si="11"/>
        <v>0.97449633777604316</v>
      </c>
    </row>
    <row r="130" spans="1:25" x14ac:dyDescent="0.25">
      <c r="A130" s="148">
        <f>Données!A130</f>
        <v>5623</v>
      </c>
      <c r="B130" s="156" t="str">
        <f>Données!B130</f>
        <v>Buchillon</v>
      </c>
      <c r="C130" s="318">
        <f>Données!C130</f>
        <v>686</v>
      </c>
      <c r="D130" s="319">
        <f>Données!D130</f>
        <v>52</v>
      </c>
      <c r="E130" s="320">
        <f>Données!E130</f>
        <v>1</v>
      </c>
      <c r="F130" s="321">
        <f>Données!F130</f>
        <v>2834579.17</v>
      </c>
      <c r="G130" s="321">
        <f>Données!G130</f>
        <v>1602381.47</v>
      </c>
      <c r="H130" s="321">
        <f>Données!H130</f>
        <v>67580</v>
      </c>
      <c r="I130" s="321">
        <f>Données!I130</f>
        <v>248347.9</v>
      </c>
      <c r="J130" s="321">
        <f>Données!J130</f>
        <v>207170.32</v>
      </c>
      <c r="K130" s="321">
        <f>Données!K130</f>
        <v>2792.39</v>
      </c>
      <c r="L130" s="321">
        <f>Données!L130</f>
        <v>-5317.97</v>
      </c>
      <c r="M130" s="321">
        <f>Données!M130</f>
        <v>-1350</v>
      </c>
      <c r="N130" s="321">
        <f>Données!N130</f>
        <v>31188.162805091648</v>
      </c>
      <c r="O130" s="321">
        <f>Données!O130</f>
        <v>385973.2</v>
      </c>
      <c r="P130" s="321">
        <f>Données!P130</f>
        <v>72589.149999999994</v>
      </c>
      <c r="Q130" s="321">
        <f>Données!Q130</f>
        <v>3516.8</v>
      </c>
      <c r="R130" s="321">
        <f>Données!R130</f>
        <v>-113557.63</v>
      </c>
      <c r="S130" s="313"/>
      <c r="T130" s="302">
        <f t="shared" si="6"/>
        <v>6472445.5717268093</v>
      </c>
      <c r="U130" s="322">
        <f t="shared" si="7"/>
        <v>385973.2</v>
      </c>
      <c r="V130" s="322">
        <f t="shared" si="8"/>
        <v>-37451.680000000008</v>
      </c>
      <c r="W130" s="323">
        <f t="shared" si="9"/>
        <v>6820967.0917268097</v>
      </c>
      <c r="X130" s="302">
        <f t="shared" si="10"/>
        <v>9943.10071680293</v>
      </c>
      <c r="Y130" s="324">
        <f t="shared" si="11"/>
        <v>2.9766067155240794</v>
      </c>
    </row>
    <row r="131" spans="1:25" x14ac:dyDescent="0.25">
      <c r="A131" s="148">
        <f>Données!A131</f>
        <v>5624</v>
      </c>
      <c r="B131" s="156" t="str">
        <f>Données!B131</f>
        <v>Bussigny</v>
      </c>
      <c r="C131" s="318">
        <f>Données!C131</f>
        <v>11667</v>
      </c>
      <c r="D131" s="319">
        <f>Données!D131</f>
        <v>62.5</v>
      </c>
      <c r="E131" s="320">
        <f>Données!E131</f>
        <v>1.25</v>
      </c>
      <c r="F131" s="321">
        <f>Données!F131</f>
        <v>17235231.640000001</v>
      </c>
      <c r="G131" s="321">
        <f>Données!G131</f>
        <v>1653186.1</v>
      </c>
      <c r="H131" s="321">
        <f>Données!H131</f>
        <v>1493741.45</v>
      </c>
      <c r="I131" s="321">
        <f>Données!I131</f>
        <v>333458.2</v>
      </c>
      <c r="J131" s="321">
        <f>Données!J131</f>
        <v>0</v>
      </c>
      <c r="K131" s="321">
        <f>Données!K131</f>
        <v>53208.01</v>
      </c>
      <c r="L131" s="321">
        <f>Données!L131</f>
        <v>-262739.84999999998</v>
      </c>
      <c r="M131" s="321">
        <f>Données!M131</f>
        <v>-150</v>
      </c>
      <c r="N131" s="321">
        <f>Données!N131</f>
        <v>180379.7643753732</v>
      </c>
      <c r="O131" s="321">
        <f>Données!O131</f>
        <v>3432958.4</v>
      </c>
      <c r="P131" s="321">
        <f>Données!P131</f>
        <v>1135485.5900000001</v>
      </c>
      <c r="Q131" s="321">
        <f>Données!Q131</f>
        <v>605438.1</v>
      </c>
      <c r="R131" s="321">
        <f>Données!R131</f>
        <v>-4070.71</v>
      </c>
      <c r="S131" s="313"/>
      <c r="T131" s="302">
        <f t="shared" si="6"/>
        <v>22335884.711507358</v>
      </c>
      <c r="U131" s="322">
        <f t="shared" si="7"/>
        <v>2746366.7199999997</v>
      </c>
      <c r="V131" s="322">
        <f t="shared" si="8"/>
        <v>1736852.98</v>
      </c>
      <c r="W131" s="323">
        <f t="shared" si="9"/>
        <v>26819104.411507357</v>
      </c>
      <c r="X131" s="302">
        <f t="shared" si="10"/>
        <v>2298.7147005663287</v>
      </c>
      <c r="Y131" s="324">
        <f t="shared" si="11"/>
        <v>0.68815249987528326</v>
      </c>
    </row>
    <row r="132" spans="1:25" x14ac:dyDescent="0.25">
      <c r="A132" s="148">
        <f>Données!A132</f>
        <v>5627</v>
      </c>
      <c r="B132" s="156" t="str">
        <f>Données!B132</f>
        <v>Chavannes-près-Renens</v>
      </c>
      <c r="C132" s="318">
        <f>Données!C132</f>
        <v>9771</v>
      </c>
      <c r="D132" s="319">
        <f>Données!D132</f>
        <v>77.5</v>
      </c>
      <c r="E132" s="320">
        <f>Données!E132</f>
        <v>1.5</v>
      </c>
      <c r="F132" s="321">
        <f>Données!F132</f>
        <v>11271299.390000001</v>
      </c>
      <c r="G132" s="321">
        <f>Données!G132</f>
        <v>561395.35</v>
      </c>
      <c r="H132" s="321">
        <f>Données!H132</f>
        <v>771055.3</v>
      </c>
      <c r="I132" s="321">
        <f>Données!I132</f>
        <v>183609.35</v>
      </c>
      <c r="J132" s="321">
        <f>Données!J132</f>
        <v>0</v>
      </c>
      <c r="K132" s="321">
        <f>Données!K132</f>
        <v>63855.55</v>
      </c>
      <c r="L132" s="321">
        <f>Données!L132</f>
        <v>-328321.56</v>
      </c>
      <c r="M132" s="321">
        <f>Données!M132</f>
        <v>-6750.66</v>
      </c>
      <c r="N132" s="321">
        <f>Données!N132</f>
        <v>94243.770583306614</v>
      </c>
      <c r="O132" s="321">
        <f>Données!O132</f>
        <v>2233677.5499999998</v>
      </c>
      <c r="P132" s="321">
        <f>Données!P132</f>
        <v>1165212.99</v>
      </c>
      <c r="Q132" s="321">
        <f>Données!Q132</f>
        <v>391516.85</v>
      </c>
      <c r="R132" s="321">
        <f>Données!R132</f>
        <v>-2828.74</v>
      </c>
      <c r="S132" s="313"/>
      <c r="T132" s="302">
        <f t="shared" si="6"/>
        <v>10980616.682929482</v>
      </c>
      <c r="U132" s="322">
        <f t="shared" si="7"/>
        <v>1489118.3666666665</v>
      </c>
      <c r="V132" s="322">
        <f t="shared" si="8"/>
        <v>1553901.0999999999</v>
      </c>
      <c r="W132" s="323">
        <f t="shared" si="9"/>
        <v>14023636.149596149</v>
      </c>
      <c r="X132" s="302">
        <f t="shared" si="10"/>
        <v>1435.230390911488</v>
      </c>
      <c r="Y132" s="324">
        <f t="shared" si="11"/>
        <v>0.42965635585807743</v>
      </c>
    </row>
    <row r="133" spans="1:25" x14ac:dyDescent="0.25">
      <c r="A133" s="148">
        <f>Données!A133</f>
        <v>5628</v>
      </c>
      <c r="B133" s="156" t="str">
        <f>Données!B133</f>
        <v>Chigny</v>
      </c>
      <c r="C133" s="318">
        <f>Données!C133</f>
        <v>420</v>
      </c>
      <c r="D133" s="319">
        <f>Données!D133</f>
        <v>62</v>
      </c>
      <c r="E133" s="320">
        <f>Données!E133</f>
        <v>1</v>
      </c>
      <c r="F133" s="321">
        <f>Données!F133</f>
        <v>1811407.47</v>
      </c>
      <c r="G133" s="321">
        <f>Données!G133</f>
        <v>0</v>
      </c>
      <c r="H133" s="321">
        <f>Données!H133</f>
        <v>9123.1</v>
      </c>
      <c r="I133" s="321">
        <f>Données!I133</f>
        <v>445.4</v>
      </c>
      <c r="J133" s="321">
        <f>Données!J133</f>
        <v>0</v>
      </c>
      <c r="K133" s="321">
        <f>Données!K133</f>
        <v>7680.2</v>
      </c>
      <c r="L133" s="321">
        <f>Données!L133</f>
        <v>-4143.33</v>
      </c>
      <c r="M133" s="321">
        <f>Données!M133</f>
        <v>0</v>
      </c>
      <c r="N133" s="321">
        <f>Données!N133</f>
        <v>944.59506678745186</v>
      </c>
      <c r="O133" s="321">
        <f>Données!O133</f>
        <v>119180.9</v>
      </c>
      <c r="P133" s="321">
        <f>Données!P133</f>
        <v>27022.27</v>
      </c>
      <c r="Q133" s="321">
        <f>Données!Q133</f>
        <v>1308</v>
      </c>
      <c r="R133" s="321">
        <f>Données!R133</f>
        <v>-3452.15</v>
      </c>
      <c r="S133" s="313"/>
      <c r="T133" s="302">
        <f t="shared" si="6"/>
        <v>1986918.5195513424</v>
      </c>
      <c r="U133" s="322">
        <f t="shared" si="7"/>
        <v>119180.9</v>
      </c>
      <c r="V133" s="322">
        <f t="shared" si="8"/>
        <v>24878.12</v>
      </c>
      <c r="W133" s="323">
        <f t="shared" si="9"/>
        <v>2130977.5395513424</v>
      </c>
      <c r="X133" s="302">
        <f t="shared" si="10"/>
        <v>5073.756046550815</v>
      </c>
      <c r="Y133" s="324">
        <f t="shared" si="11"/>
        <v>1.5189000646017883</v>
      </c>
    </row>
    <row r="134" spans="1:25" x14ac:dyDescent="0.25">
      <c r="A134" s="148">
        <f>Données!A134</f>
        <v>5629</v>
      </c>
      <c r="B134" s="156" t="str">
        <f>Données!B134</f>
        <v>Clarmont</v>
      </c>
      <c r="C134" s="318">
        <f>Données!C134</f>
        <v>228</v>
      </c>
      <c r="D134" s="319">
        <f>Données!D134</f>
        <v>72</v>
      </c>
      <c r="E134" s="320">
        <f>Données!E134</f>
        <v>1</v>
      </c>
      <c r="F134" s="321">
        <f>Données!F134</f>
        <v>464816.51</v>
      </c>
      <c r="G134" s="321">
        <f>Données!G134</f>
        <v>69527.03</v>
      </c>
      <c r="H134" s="321">
        <f>Données!H134</f>
        <v>2714.15</v>
      </c>
      <c r="I134" s="321">
        <f>Données!I134</f>
        <v>314.55</v>
      </c>
      <c r="J134" s="321">
        <f>Données!J134</f>
        <v>0</v>
      </c>
      <c r="K134" s="321">
        <f>Données!K134</f>
        <v>0</v>
      </c>
      <c r="L134" s="321">
        <f>Données!L134</f>
        <v>-82.57</v>
      </c>
      <c r="M134" s="321">
        <f>Données!M134</f>
        <v>-600</v>
      </c>
      <c r="N134" s="321">
        <f>Données!N134</f>
        <v>298.99096815374986</v>
      </c>
      <c r="O134" s="321">
        <f>Données!O134</f>
        <v>39424</v>
      </c>
      <c r="P134" s="321">
        <f>Données!P134</f>
        <v>619.55999999999995</v>
      </c>
      <c r="Q134" s="321">
        <f>Données!Q134</f>
        <v>537</v>
      </c>
      <c r="R134" s="321">
        <f>Données!R134</f>
        <v>-101.75</v>
      </c>
      <c r="S134" s="313"/>
      <c r="T134" s="302">
        <f t="shared" si="6"/>
        <v>503306.63454374776</v>
      </c>
      <c r="U134" s="322">
        <f t="shared" si="7"/>
        <v>39424</v>
      </c>
      <c r="V134" s="322">
        <f t="shared" si="8"/>
        <v>1054.81</v>
      </c>
      <c r="W134" s="323">
        <f t="shared" si="9"/>
        <v>543785.44454374781</v>
      </c>
      <c r="X134" s="302">
        <f t="shared" si="10"/>
        <v>2385.0238795778414</v>
      </c>
      <c r="Y134" s="324">
        <f t="shared" si="11"/>
        <v>0.71399036365382129</v>
      </c>
    </row>
    <row r="135" spans="1:25" x14ac:dyDescent="0.25">
      <c r="A135" s="148">
        <f>Données!A135</f>
        <v>5631</v>
      </c>
      <c r="B135" s="156" t="str">
        <f>Données!B135</f>
        <v>Denens</v>
      </c>
      <c r="C135" s="318">
        <f>Données!C135</f>
        <v>742</v>
      </c>
      <c r="D135" s="319">
        <f>Données!D135</f>
        <v>65</v>
      </c>
      <c r="E135" s="320">
        <f>Données!E135</f>
        <v>1</v>
      </c>
      <c r="F135" s="321">
        <f>Données!F135</f>
        <v>1968806.06</v>
      </c>
      <c r="G135" s="321">
        <f>Données!G135</f>
        <v>501236.5</v>
      </c>
      <c r="H135" s="321">
        <f>Données!H135</f>
        <v>3931.6</v>
      </c>
      <c r="I135" s="321">
        <f>Données!I135</f>
        <v>2712.4</v>
      </c>
      <c r="J135" s="321">
        <f>Données!J135</f>
        <v>295743.52</v>
      </c>
      <c r="K135" s="321">
        <f>Données!K135</f>
        <v>0</v>
      </c>
      <c r="L135" s="321">
        <f>Données!L135</f>
        <v>-7689.64</v>
      </c>
      <c r="M135" s="321">
        <f>Données!M135</f>
        <v>-5800</v>
      </c>
      <c r="N135" s="321">
        <f>Données!N135</f>
        <v>655.89064364694889</v>
      </c>
      <c r="O135" s="321">
        <f>Données!O135</f>
        <v>226259.95</v>
      </c>
      <c r="P135" s="321">
        <f>Données!P135</f>
        <v>56394.86</v>
      </c>
      <c r="Q135" s="321">
        <f>Données!Q135</f>
        <v>2656.15</v>
      </c>
      <c r="R135" s="321">
        <f>Données!R135</f>
        <v>-4956.12</v>
      </c>
      <c r="S135" s="313"/>
      <c r="T135" s="302">
        <f t="shared" si="6"/>
        <v>2865050.2181136301</v>
      </c>
      <c r="U135" s="322">
        <f t="shared" si="7"/>
        <v>226259.95</v>
      </c>
      <c r="V135" s="322">
        <f t="shared" si="8"/>
        <v>54094.89</v>
      </c>
      <c r="W135" s="323">
        <f t="shared" si="9"/>
        <v>3145405.0581136304</v>
      </c>
      <c r="X135" s="302">
        <f t="shared" si="10"/>
        <v>4239.0903748162136</v>
      </c>
      <c r="Y135" s="324">
        <f t="shared" si="11"/>
        <v>1.2690311842127864</v>
      </c>
    </row>
    <row r="136" spans="1:25" x14ac:dyDescent="0.25">
      <c r="A136" s="148">
        <f>Données!A136</f>
        <v>5632</v>
      </c>
      <c r="B136" s="156" t="str">
        <f>Données!B136</f>
        <v>Denges</v>
      </c>
      <c r="C136" s="318">
        <f>Données!C136</f>
        <v>1837</v>
      </c>
      <c r="D136" s="319">
        <f>Données!D136</f>
        <v>62</v>
      </c>
      <c r="E136" s="320">
        <f>Données!E136</f>
        <v>1</v>
      </c>
      <c r="F136" s="321">
        <f>Données!F136</f>
        <v>3776348.89</v>
      </c>
      <c r="G136" s="321">
        <f>Données!G136</f>
        <v>617665.65</v>
      </c>
      <c r="H136" s="321">
        <f>Données!H136</f>
        <v>217039.95</v>
      </c>
      <c r="I136" s="321">
        <f>Données!I136</f>
        <v>19873.8</v>
      </c>
      <c r="J136" s="321">
        <f>Données!J136</f>
        <v>0</v>
      </c>
      <c r="K136" s="321">
        <f>Données!K136</f>
        <v>4058.63</v>
      </c>
      <c r="L136" s="321">
        <f>Données!L136</f>
        <v>-44023.3</v>
      </c>
      <c r="M136" s="321">
        <f>Données!M136</f>
        <v>-983</v>
      </c>
      <c r="N136" s="321">
        <f>Données!N136</f>
        <v>23387.945812208356</v>
      </c>
      <c r="O136" s="321">
        <f>Données!O136</f>
        <v>399465</v>
      </c>
      <c r="P136" s="321">
        <f>Données!P136</f>
        <v>202088.63</v>
      </c>
      <c r="Q136" s="321">
        <f>Données!Q136</f>
        <v>50413.2</v>
      </c>
      <c r="R136" s="321">
        <f>Données!R136</f>
        <v>-199.83</v>
      </c>
      <c r="S136" s="313"/>
      <c r="T136" s="302">
        <f t="shared" ref="T136:T199" si="12">(SUM(F136:N136)/D136*$T$4)</f>
        <v>5021419.4342980804</v>
      </c>
      <c r="U136" s="322">
        <f t="shared" ref="U136:U199" si="13">O136/E136*$U$4</f>
        <v>399465</v>
      </c>
      <c r="V136" s="322">
        <f t="shared" ref="V136:V199" si="14">SUM(P136:R136)</f>
        <v>252302.00000000003</v>
      </c>
      <c r="W136" s="323">
        <f t="shared" ref="W136:W199" si="15">SUM(T136:V136)</f>
        <v>5673186.4342980804</v>
      </c>
      <c r="X136" s="302">
        <f t="shared" ref="X136:X199" si="16">W136/C136</f>
        <v>3088.2887502983563</v>
      </c>
      <c r="Y136" s="324">
        <f t="shared" ref="Y136:Y199" si="17">X136/$X$308</f>
        <v>0.92452257051775266</v>
      </c>
    </row>
    <row r="137" spans="1:25" x14ac:dyDescent="0.25">
      <c r="A137" s="148">
        <f>Données!A137</f>
        <v>5633</v>
      </c>
      <c r="B137" s="156" t="str">
        <f>Données!B137</f>
        <v>Echandens</v>
      </c>
      <c r="C137" s="318">
        <f>Données!C137</f>
        <v>3004</v>
      </c>
      <c r="D137" s="319">
        <f>Données!D137</f>
        <v>60.5</v>
      </c>
      <c r="E137" s="320">
        <f>Données!E137</f>
        <v>1</v>
      </c>
      <c r="F137" s="321">
        <f>Données!F137</f>
        <v>6139372.4299999997</v>
      </c>
      <c r="G137" s="321">
        <f>Données!G137</f>
        <v>1618365.5</v>
      </c>
      <c r="H137" s="321">
        <f>Données!H137</f>
        <v>388237.95</v>
      </c>
      <c r="I137" s="321">
        <f>Données!I137</f>
        <v>47586.95</v>
      </c>
      <c r="J137" s="321">
        <f>Données!J137</f>
        <v>0</v>
      </c>
      <c r="K137" s="321">
        <f>Données!K137</f>
        <v>3391.4</v>
      </c>
      <c r="L137" s="321">
        <f>Données!L137</f>
        <v>-13701.25</v>
      </c>
      <c r="M137" s="321">
        <f>Données!M137</f>
        <v>0</v>
      </c>
      <c r="N137" s="321">
        <f>Données!N137</f>
        <v>43024.303759537499</v>
      </c>
      <c r="O137" s="321">
        <f>Données!O137</f>
        <v>747281.75</v>
      </c>
      <c r="P137" s="321">
        <f>Données!P137</f>
        <v>281658.36</v>
      </c>
      <c r="Q137" s="321">
        <f>Données!Q137</f>
        <v>45133.05</v>
      </c>
      <c r="R137" s="321">
        <f>Données!R137</f>
        <v>-54240.85</v>
      </c>
      <c r="S137" s="313"/>
      <c r="T137" s="302">
        <f t="shared" si="12"/>
        <v>9175885.9303295724</v>
      </c>
      <c r="U137" s="322">
        <f t="shared" si="13"/>
        <v>747281.75</v>
      </c>
      <c r="V137" s="322">
        <f t="shared" si="14"/>
        <v>272550.56</v>
      </c>
      <c r="W137" s="323">
        <f t="shared" si="15"/>
        <v>10195718.240329573</v>
      </c>
      <c r="X137" s="302">
        <f t="shared" si="16"/>
        <v>3394.0473503094449</v>
      </c>
      <c r="Y137" s="324">
        <f t="shared" si="17"/>
        <v>1.0160556976623085</v>
      </c>
    </row>
    <row r="138" spans="1:25" x14ac:dyDescent="0.25">
      <c r="A138" s="148">
        <f>Données!A138</f>
        <v>5634</v>
      </c>
      <c r="B138" s="156" t="str">
        <f>Données!B138</f>
        <v>Echichens</v>
      </c>
      <c r="C138" s="318">
        <f>Données!C138</f>
        <v>3218</v>
      </c>
      <c r="D138" s="319">
        <f>Données!D138</f>
        <v>66</v>
      </c>
      <c r="E138" s="320">
        <f>Données!E138</f>
        <v>1</v>
      </c>
      <c r="F138" s="321">
        <f>Données!F138</f>
        <v>8845607.4399999995</v>
      </c>
      <c r="G138" s="321">
        <f>Données!G138</f>
        <v>1498075.02</v>
      </c>
      <c r="H138" s="321">
        <f>Données!H138</f>
        <v>110720.95</v>
      </c>
      <c r="I138" s="321">
        <f>Données!I138</f>
        <v>49765.9</v>
      </c>
      <c r="J138" s="321">
        <f>Données!J138</f>
        <v>38803.65</v>
      </c>
      <c r="K138" s="321">
        <f>Données!K138</f>
        <v>5572.93</v>
      </c>
      <c r="L138" s="321">
        <f>Données!L138</f>
        <v>-47795.45</v>
      </c>
      <c r="M138" s="321">
        <f>Données!M138</f>
        <v>-5667</v>
      </c>
      <c r="N138" s="321">
        <f>Données!N138</f>
        <v>15843.140178111278</v>
      </c>
      <c r="O138" s="321">
        <f>Données!O138</f>
        <v>794835.05</v>
      </c>
      <c r="P138" s="321">
        <f>Données!P138</f>
        <v>60968.01</v>
      </c>
      <c r="Q138" s="321">
        <f>Données!Q138</f>
        <v>12635.9</v>
      </c>
      <c r="R138" s="321">
        <f>Données!R138</f>
        <v>-11931.9</v>
      </c>
      <c r="S138" s="313"/>
      <c r="T138" s="302">
        <f t="shared" si="12"/>
        <v>10747243.861996772</v>
      </c>
      <c r="U138" s="322">
        <f t="shared" si="13"/>
        <v>794835.05</v>
      </c>
      <c r="V138" s="322">
        <f t="shared" si="14"/>
        <v>61672.01</v>
      </c>
      <c r="W138" s="323">
        <f t="shared" si="15"/>
        <v>11603750.921996772</v>
      </c>
      <c r="X138" s="302">
        <f t="shared" si="16"/>
        <v>3605.8890372892392</v>
      </c>
      <c r="Y138" s="324">
        <f t="shared" si="17"/>
        <v>1.0794734791020963</v>
      </c>
    </row>
    <row r="139" spans="1:25" x14ac:dyDescent="0.25">
      <c r="A139" s="148">
        <f>Données!A139</f>
        <v>5635</v>
      </c>
      <c r="B139" s="156" t="str">
        <f>Données!B139</f>
        <v>Ecublens</v>
      </c>
      <c r="C139" s="318">
        <f>Données!C139</f>
        <v>13391</v>
      </c>
      <c r="D139" s="319">
        <f>Données!D139</f>
        <v>62.5</v>
      </c>
      <c r="E139" s="320">
        <f>Données!E139</f>
        <v>1.2</v>
      </c>
      <c r="F139" s="321">
        <f>Données!F139</f>
        <v>19550861.109999999</v>
      </c>
      <c r="G139" s="321">
        <f>Données!G139</f>
        <v>2683133.56</v>
      </c>
      <c r="H139" s="321">
        <f>Données!H139</f>
        <v>6047900.5</v>
      </c>
      <c r="I139" s="321">
        <f>Données!I139</f>
        <v>717616.8</v>
      </c>
      <c r="J139" s="321">
        <f>Données!J139</f>
        <v>97844.85</v>
      </c>
      <c r="K139" s="321">
        <f>Données!K139</f>
        <v>93353.73</v>
      </c>
      <c r="L139" s="321">
        <f>Données!L139</f>
        <v>-342073.74</v>
      </c>
      <c r="M139" s="321">
        <f>Données!M139</f>
        <v>-45050.34</v>
      </c>
      <c r="N139" s="321">
        <f>Données!N139</f>
        <v>667886.7393891582</v>
      </c>
      <c r="O139" s="321">
        <f>Données!O139</f>
        <v>3413515</v>
      </c>
      <c r="P139" s="321">
        <f>Données!P139</f>
        <v>1192526.4099999999</v>
      </c>
      <c r="Q139" s="321">
        <f>Données!Q139</f>
        <v>534402.4</v>
      </c>
      <c r="R139" s="321">
        <f>Données!R139</f>
        <v>-21914.28</v>
      </c>
      <c r="S139" s="313"/>
      <c r="T139" s="302">
        <f t="shared" si="12"/>
        <v>31821589.194560271</v>
      </c>
      <c r="U139" s="322">
        <f t="shared" si="13"/>
        <v>2844595.8333333335</v>
      </c>
      <c r="V139" s="322">
        <f t="shared" si="14"/>
        <v>1705014.53</v>
      </c>
      <c r="W139" s="323">
        <f t="shared" si="15"/>
        <v>36371199.557893604</v>
      </c>
      <c r="X139" s="302">
        <f t="shared" si="16"/>
        <v>2716.0928652000302</v>
      </c>
      <c r="Y139" s="324">
        <f t="shared" si="17"/>
        <v>0.81310050987203386</v>
      </c>
    </row>
    <row r="140" spans="1:25" x14ac:dyDescent="0.25">
      <c r="A140" s="148">
        <f>Données!A140</f>
        <v>5636</v>
      </c>
      <c r="B140" s="156" t="str">
        <f>Données!B140</f>
        <v>Etoy</v>
      </c>
      <c r="C140" s="318">
        <f>Données!C140</f>
        <v>2966</v>
      </c>
      <c r="D140" s="319">
        <f>Données!D140</f>
        <v>60</v>
      </c>
      <c r="E140" s="320">
        <f>Données!E140</f>
        <v>1</v>
      </c>
      <c r="F140" s="321">
        <f>Données!F140</f>
        <v>6566839.5800000001</v>
      </c>
      <c r="G140" s="321">
        <f>Données!G140</f>
        <v>981435.12</v>
      </c>
      <c r="H140" s="321">
        <f>Données!H140</f>
        <v>2740743.75</v>
      </c>
      <c r="I140" s="321">
        <f>Données!I140</f>
        <v>239711.85</v>
      </c>
      <c r="J140" s="321">
        <f>Données!J140</f>
        <v>29870.9</v>
      </c>
      <c r="K140" s="321">
        <f>Données!K140</f>
        <v>36641.5</v>
      </c>
      <c r="L140" s="321">
        <f>Données!L140</f>
        <v>-96486.06</v>
      </c>
      <c r="M140" s="321">
        <f>Données!M140</f>
        <v>-1368</v>
      </c>
      <c r="N140" s="321">
        <f>Données!N140</f>
        <v>294228.31755646493</v>
      </c>
      <c r="O140" s="321">
        <f>Données!O140</f>
        <v>1211954.45</v>
      </c>
      <c r="P140" s="321">
        <f>Données!P140</f>
        <v>618581.61</v>
      </c>
      <c r="Q140" s="321">
        <f>Données!Q140</f>
        <v>253826.55</v>
      </c>
      <c r="R140" s="321">
        <f>Données!R140</f>
        <v>-2545.9</v>
      </c>
      <c r="S140" s="313"/>
      <c r="T140" s="302">
        <f t="shared" si="12"/>
        <v>12137669.504753504</v>
      </c>
      <c r="U140" s="322">
        <f t="shared" si="13"/>
        <v>1211954.45</v>
      </c>
      <c r="V140" s="322">
        <f t="shared" si="14"/>
        <v>869862.25999999989</v>
      </c>
      <c r="W140" s="323">
        <f t="shared" si="15"/>
        <v>14219486.214753503</v>
      </c>
      <c r="X140" s="302">
        <f t="shared" si="16"/>
        <v>4794.1625808339522</v>
      </c>
      <c r="Y140" s="324">
        <f t="shared" si="17"/>
        <v>1.4351998375425314</v>
      </c>
    </row>
    <row r="141" spans="1:25" x14ac:dyDescent="0.25">
      <c r="A141" s="148">
        <f>Données!A141</f>
        <v>5637</v>
      </c>
      <c r="B141" s="156" t="str">
        <f>Données!B141</f>
        <v>Lavigny</v>
      </c>
      <c r="C141" s="318">
        <f>Données!C141</f>
        <v>1100</v>
      </c>
      <c r="D141" s="319">
        <f>Données!D141</f>
        <v>73</v>
      </c>
      <c r="E141" s="320">
        <f>Données!E141</f>
        <v>1.5</v>
      </c>
      <c r="F141" s="321">
        <f>Données!F141</f>
        <v>2159513.3199999998</v>
      </c>
      <c r="G141" s="321">
        <f>Données!G141</f>
        <v>246201.69</v>
      </c>
      <c r="H141" s="321">
        <f>Données!H141</f>
        <v>33096.9</v>
      </c>
      <c r="I141" s="321">
        <f>Données!I141</f>
        <v>3660.6</v>
      </c>
      <c r="J141" s="321">
        <f>Données!J141</f>
        <v>0</v>
      </c>
      <c r="K141" s="321">
        <f>Données!K141</f>
        <v>43413.46</v>
      </c>
      <c r="L141" s="321">
        <f>Données!L141</f>
        <v>-60150.57</v>
      </c>
      <c r="M141" s="321">
        <f>Données!M141</f>
        <v>-220</v>
      </c>
      <c r="N141" s="321">
        <f>Données!N141</f>
        <v>3628.6725367026975</v>
      </c>
      <c r="O141" s="321">
        <f>Données!O141</f>
        <v>311865.45</v>
      </c>
      <c r="P141" s="321">
        <f>Données!P141</f>
        <v>86585.42</v>
      </c>
      <c r="Q141" s="321">
        <f>Données!Q141</f>
        <v>10082.950000000001</v>
      </c>
      <c r="R141" s="321">
        <f>Données!R141</f>
        <v>-958.19</v>
      </c>
      <c r="S141" s="313"/>
      <c r="T141" s="302">
        <f t="shared" si="12"/>
        <v>2245589.9186093062</v>
      </c>
      <c r="U141" s="322">
        <f t="shared" si="13"/>
        <v>207910.30000000002</v>
      </c>
      <c r="V141" s="322">
        <f t="shared" si="14"/>
        <v>95710.18</v>
      </c>
      <c r="W141" s="323">
        <f t="shared" si="15"/>
        <v>2549210.3986093062</v>
      </c>
      <c r="X141" s="302">
        <f t="shared" si="16"/>
        <v>2317.4639987357327</v>
      </c>
      <c r="Y141" s="324">
        <f t="shared" si="17"/>
        <v>0.69376536536181088</v>
      </c>
    </row>
    <row r="142" spans="1:25" x14ac:dyDescent="0.25">
      <c r="A142" s="148">
        <f>Données!A142</f>
        <v>5638</v>
      </c>
      <c r="B142" s="156" t="str">
        <f>Données!B142</f>
        <v>Lonay</v>
      </c>
      <c r="C142" s="318">
        <f>Données!C142</f>
        <v>2733</v>
      </c>
      <c r="D142" s="319">
        <f>Données!D142</f>
        <v>55</v>
      </c>
      <c r="E142" s="320">
        <f>Données!E142</f>
        <v>1</v>
      </c>
      <c r="F142" s="321">
        <f>Données!F142</f>
        <v>5464264.6900000004</v>
      </c>
      <c r="G142" s="321">
        <f>Données!G142</f>
        <v>1076653.73</v>
      </c>
      <c r="H142" s="321">
        <f>Données!H142</f>
        <v>575828.35</v>
      </c>
      <c r="I142" s="321">
        <f>Données!I142</f>
        <v>86353.3</v>
      </c>
      <c r="J142" s="321">
        <f>Données!J142</f>
        <v>359927.65</v>
      </c>
      <c r="K142" s="321">
        <f>Données!K142</f>
        <v>33556.519999999997</v>
      </c>
      <c r="L142" s="321">
        <f>Données!L142</f>
        <v>-90449.22</v>
      </c>
      <c r="M142" s="321">
        <f>Données!M142</f>
        <v>-2616.66</v>
      </c>
      <c r="N142" s="321">
        <f>Données!N142</f>
        <v>65370.070534271312</v>
      </c>
      <c r="O142" s="321">
        <f>Données!O142</f>
        <v>747999.2</v>
      </c>
      <c r="P142" s="321">
        <f>Données!P142</f>
        <v>214366.07</v>
      </c>
      <c r="Q142" s="321">
        <f>Données!Q142</f>
        <v>73791.600000000006</v>
      </c>
      <c r="R142" s="321">
        <f>Données!R142</f>
        <v>-6196.64</v>
      </c>
      <c r="S142" s="313"/>
      <c r="T142" s="302">
        <f t="shared" si="12"/>
        <v>9286871.8022177722</v>
      </c>
      <c r="U142" s="322">
        <f t="shared" si="13"/>
        <v>747999.2</v>
      </c>
      <c r="V142" s="322">
        <f t="shared" si="14"/>
        <v>281961.03000000003</v>
      </c>
      <c r="W142" s="323">
        <f t="shared" si="15"/>
        <v>10316832.032217771</v>
      </c>
      <c r="X142" s="302">
        <f t="shared" si="16"/>
        <v>3774.9110985063194</v>
      </c>
      <c r="Y142" s="324">
        <f t="shared" si="17"/>
        <v>1.1300726047491159</v>
      </c>
    </row>
    <row r="143" spans="1:25" x14ac:dyDescent="0.25">
      <c r="A143" s="148">
        <f>Données!A143</f>
        <v>5639</v>
      </c>
      <c r="B143" s="156" t="str">
        <f>Données!B143</f>
        <v>Lully</v>
      </c>
      <c r="C143" s="318">
        <f>Données!C143</f>
        <v>838</v>
      </c>
      <c r="D143" s="319">
        <f>Données!D143</f>
        <v>61</v>
      </c>
      <c r="E143" s="320">
        <f>Données!E143</f>
        <v>1.25</v>
      </c>
      <c r="F143" s="321">
        <f>Données!F143</f>
        <v>2525851.4900000002</v>
      </c>
      <c r="G143" s="321">
        <f>Données!G143</f>
        <v>618411</v>
      </c>
      <c r="H143" s="321">
        <f>Données!H143</f>
        <v>37116.5</v>
      </c>
      <c r="I143" s="321">
        <f>Données!I143</f>
        <v>4758.6000000000004</v>
      </c>
      <c r="J143" s="321">
        <f>Données!J143</f>
        <v>0</v>
      </c>
      <c r="K143" s="321">
        <f>Données!K143</f>
        <v>0</v>
      </c>
      <c r="L143" s="321">
        <f>Données!L143</f>
        <v>-141.01</v>
      </c>
      <c r="M143" s="321">
        <f>Données!M143</f>
        <v>0</v>
      </c>
      <c r="N143" s="321">
        <f>Données!N143</f>
        <v>4133.8781294070359</v>
      </c>
      <c r="O143" s="321">
        <f>Données!O143</f>
        <v>273740.15000000002</v>
      </c>
      <c r="P143" s="321">
        <f>Données!P143</f>
        <v>-3253.93</v>
      </c>
      <c r="Q143" s="321">
        <f>Données!Q143</f>
        <v>2936.85</v>
      </c>
      <c r="R143" s="321">
        <f>Données!R143</f>
        <v>-3112.05</v>
      </c>
      <c r="S143" s="313"/>
      <c r="T143" s="302">
        <f t="shared" si="12"/>
        <v>3529219.2956487308</v>
      </c>
      <c r="U143" s="322">
        <f t="shared" si="13"/>
        <v>218992.12000000002</v>
      </c>
      <c r="V143" s="322">
        <f t="shared" si="14"/>
        <v>-3429.13</v>
      </c>
      <c r="W143" s="323">
        <f t="shared" si="15"/>
        <v>3744782.285648731</v>
      </c>
      <c r="X143" s="302">
        <f t="shared" si="16"/>
        <v>4468.7139446882229</v>
      </c>
      <c r="Y143" s="324">
        <f t="shared" si="17"/>
        <v>1.3377722218016528</v>
      </c>
    </row>
    <row r="144" spans="1:25" x14ac:dyDescent="0.25">
      <c r="A144" s="148">
        <f>Données!A144</f>
        <v>5640</v>
      </c>
      <c r="B144" s="156" t="str">
        <f>Données!B144</f>
        <v>Lussy-sur-Morges</v>
      </c>
      <c r="C144" s="318">
        <f>Données!C144</f>
        <v>719</v>
      </c>
      <c r="D144" s="319">
        <f>Données!D144</f>
        <v>61.5</v>
      </c>
      <c r="E144" s="320">
        <f>Données!E144</f>
        <v>1</v>
      </c>
      <c r="F144" s="321">
        <f>Données!F144</f>
        <v>2782789.43</v>
      </c>
      <c r="G144" s="321">
        <f>Données!G144</f>
        <v>700984.76</v>
      </c>
      <c r="H144" s="321">
        <f>Données!H144</f>
        <v>62802.85</v>
      </c>
      <c r="I144" s="321">
        <f>Données!I144</f>
        <v>4304.25</v>
      </c>
      <c r="J144" s="321">
        <f>Données!J144</f>
        <v>83927.5</v>
      </c>
      <c r="K144" s="321">
        <f>Données!K144</f>
        <v>0</v>
      </c>
      <c r="L144" s="321">
        <f>Données!L144</f>
        <v>-3269.91</v>
      </c>
      <c r="M144" s="321">
        <f>Données!M144</f>
        <v>0</v>
      </c>
      <c r="N144" s="321">
        <f>Données!N144</f>
        <v>6624.7620427875027</v>
      </c>
      <c r="O144" s="321">
        <f>Données!O144</f>
        <v>222430.4</v>
      </c>
      <c r="P144" s="321">
        <f>Données!P144</f>
        <v>27925.02</v>
      </c>
      <c r="Q144" s="321">
        <f>Données!Q144</f>
        <v>10925.25</v>
      </c>
      <c r="R144" s="321">
        <f>Données!R144</f>
        <v>-6192.41</v>
      </c>
      <c r="S144" s="313"/>
      <c r="T144" s="302">
        <f t="shared" si="12"/>
        <v>3992152.7494954187</v>
      </c>
      <c r="U144" s="322">
        <f t="shared" si="13"/>
        <v>222430.4</v>
      </c>
      <c r="V144" s="322">
        <f t="shared" si="14"/>
        <v>32657.860000000004</v>
      </c>
      <c r="W144" s="323">
        <f t="shared" si="15"/>
        <v>4247241.0094954195</v>
      </c>
      <c r="X144" s="302">
        <f t="shared" si="16"/>
        <v>5907.1502218295127</v>
      </c>
      <c r="Y144" s="324">
        <f t="shared" si="17"/>
        <v>1.7683883046857984</v>
      </c>
    </row>
    <row r="145" spans="1:25" x14ac:dyDescent="0.25">
      <c r="A145" s="148">
        <f>Données!A145</f>
        <v>5642</v>
      </c>
      <c r="B145" s="156" t="str">
        <f>Données!B145</f>
        <v>Morges</v>
      </c>
      <c r="C145" s="318">
        <f>Données!C145</f>
        <v>17715</v>
      </c>
      <c r="D145" s="319">
        <f>Données!D145</f>
        <v>67</v>
      </c>
      <c r="E145" s="320">
        <f>Données!E145</f>
        <v>1</v>
      </c>
      <c r="F145" s="321">
        <f>Données!F145</f>
        <v>41893624.140000001</v>
      </c>
      <c r="G145" s="321">
        <f>Données!G145</f>
        <v>6174159.8399999999</v>
      </c>
      <c r="H145" s="321">
        <f>Données!H145</f>
        <v>14572650.5</v>
      </c>
      <c r="I145" s="321">
        <f>Données!I145</f>
        <v>404853.55</v>
      </c>
      <c r="J145" s="321">
        <f>Données!J145</f>
        <v>784003.89</v>
      </c>
      <c r="K145" s="321">
        <f>Données!K145</f>
        <v>220850.25</v>
      </c>
      <c r="L145" s="321">
        <f>Données!L145</f>
        <v>-623325.84</v>
      </c>
      <c r="M145" s="321">
        <f>Données!M145</f>
        <v>-11774</v>
      </c>
      <c r="N145" s="321">
        <f>Données!N145</f>
        <v>1478567.8464147025</v>
      </c>
      <c r="O145" s="321">
        <f>Données!O145</f>
        <v>3984145.55</v>
      </c>
      <c r="P145" s="321">
        <f>Données!P145</f>
        <v>1851940.75</v>
      </c>
      <c r="Q145" s="321">
        <f>Données!Q145</f>
        <v>558613.25</v>
      </c>
      <c r="R145" s="321">
        <f>Données!R145</f>
        <v>-120425.5</v>
      </c>
      <c r="S145" s="313"/>
      <c r="T145" s="302">
        <f t="shared" si="12"/>
        <v>65362276.430226244</v>
      </c>
      <c r="U145" s="322">
        <f t="shared" si="13"/>
        <v>3984145.55</v>
      </c>
      <c r="V145" s="322">
        <f t="shared" si="14"/>
        <v>2290128.5</v>
      </c>
      <c r="W145" s="323">
        <f t="shared" si="15"/>
        <v>71636550.480226249</v>
      </c>
      <c r="X145" s="302">
        <f t="shared" si="16"/>
        <v>4043.8357595385974</v>
      </c>
      <c r="Y145" s="324">
        <f t="shared" si="17"/>
        <v>1.2105789754274268</v>
      </c>
    </row>
    <row r="146" spans="1:25" x14ac:dyDescent="0.25">
      <c r="A146" s="148">
        <f>Données!A146</f>
        <v>5643</v>
      </c>
      <c r="B146" s="156" t="str">
        <f>Données!B146</f>
        <v>Préverenges</v>
      </c>
      <c r="C146" s="318">
        <f>Données!C146</f>
        <v>5273</v>
      </c>
      <c r="D146" s="319">
        <f>Données!D146</f>
        <v>65</v>
      </c>
      <c r="E146" s="320">
        <f>Données!E146</f>
        <v>1</v>
      </c>
      <c r="F146" s="321">
        <f>Données!F146</f>
        <v>11613724.810000001</v>
      </c>
      <c r="G146" s="321">
        <f>Données!G146</f>
        <v>2475189.2000000002</v>
      </c>
      <c r="H146" s="321">
        <f>Données!H146</f>
        <v>575035.19999999995</v>
      </c>
      <c r="I146" s="321">
        <f>Données!I146</f>
        <v>52846.6</v>
      </c>
      <c r="J146" s="321">
        <f>Données!J146</f>
        <v>379589.83</v>
      </c>
      <c r="K146" s="321">
        <f>Données!K146</f>
        <v>20632.07</v>
      </c>
      <c r="L146" s="321">
        <f>Données!L146</f>
        <v>-162002.88</v>
      </c>
      <c r="M146" s="321">
        <f>Données!M146</f>
        <v>-7650</v>
      </c>
      <c r="N146" s="321">
        <f>Données!N146</f>
        <v>61984.015342595536</v>
      </c>
      <c r="O146" s="321">
        <f>Données!O146</f>
        <v>1183178.55</v>
      </c>
      <c r="P146" s="321">
        <f>Données!P146</f>
        <v>303391.63</v>
      </c>
      <c r="Q146" s="321">
        <f>Données!Q146</f>
        <v>84856.15</v>
      </c>
      <c r="R146" s="321">
        <f>Données!R146</f>
        <v>-32986.31</v>
      </c>
      <c r="S146" s="313"/>
      <c r="T146" s="302">
        <f t="shared" si="12"/>
        <v>15582908.886192959</v>
      </c>
      <c r="U146" s="322">
        <f t="shared" si="13"/>
        <v>1183178.55</v>
      </c>
      <c r="V146" s="322">
        <f t="shared" si="14"/>
        <v>355261.47000000003</v>
      </c>
      <c r="W146" s="323">
        <f t="shared" si="15"/>
        <v>17121348.906192958</v>
      </c>
      <c r="X146" s="302">
        <f t="shared" si="16"/>
        <v>3246.9844312901496</v>
      </c>
      <c r="Y146" s="324">
        <f t="shared" si="17"/>
        <v>0.97203034935042287</v>
      </c>
    </row>
    <row r="147" spans="1:25" x14ac:dyDescent="0.25">
      <c r="A147" s="148">
        <f>Données!A147</f>
        <v>5645</v>
      </c>
      <c r="B147" s="156" t="str">
        <f>Données!B147</f>
        <v>Romanel-sur-Morges</v>
      </c>
      <c r="C147" s="318">
        <f>Données!C147</f>
        <v>454</v>
      </c>
      <c r="D147" s="319">
        <f>Données!D147</f>
        <v>56</v>
      </c>
      <c r="E147" s="320">
        <f>Données!E147</f>
        <v>1</v>
      </c>
      <c r="F147" s="321">
        <f>Données!F147</f>
        <v>1032189.42</v>
      </c>
      <c r="G147" s="321">
        <f>Données!G147</f>
        <v>179562.29</v>
      </c>
      <c r="H147" s="321">
        <f>Données!H147</f>
        <v>137472.20000000001</v>
      </c>
      <c r="I147" s="321">
        <f>Données!I147</f>
        <v>27914.3</v>
      </c>
      <c r="J147" s="321">
        <f>Données!J147</f>
        <v>0</v>
      </c>
      <c r="K147" s="321">
        <f>Données!K147</f>
        <v>981.23</v>
      </c>
      <c r="L147" s="321">
        <f>Données!L147</f>
        <v>-23955.19</v>
      </c>
      <c r="M147" s="321">
        <f>Données!M147</f>
        <v>0</v>
      </c>
      <c r="N147" s="321">
        <f>Données!N147</f>
        <v>16326.829912028312</v>
      </c>
      <c r="O147" s="321">
        <f>Données!O147</f>
        <v>165921.60000000001</v>
      </c>
      <c r="P147" s="321">
        <f>Données!P147</f>
        <v>29681.03</v>
      </c>
      <c r="Q147" s="321">
        <f>Données!Q147</f>
        <v>22293</v>
      </c>
      <c r="R147" s="321">
        <f>Données!R147</f>
        <v>-2830.48</v>
      </c>
      <c r="S147" s="313"/>
      <c r="T147" s="302">
        <f t="shared" si="12"/>
        <v>1651536.6761674669</v>
      </c>
      <c r="U147" s="322">
        <f t="shared" si="13"/>
        <v>165921.60000000001</v>
      </c>
      <c r="V147" s="322">
        <f t="shared" si="14"/>
        <v>49143.549999999996</v>
      </c>
      <c r="W147" s="323">
        <f t="shared" si="15"/>
        <v>1866601.8261674671</v>
      </c>
      <c r="X147" s="302">
        <f t="shared" si="16"/>
        <v>4111.4577668886941</v>
      </c>
      <c r="Y147" s="324">
        <f t="shared" si="17"/>
        <v>1.2308225721613275</v>
      </c>
    </row>
    <row r="148" spans="1:25" x14ac:dyDescent="0.25">
      <c r="A148" s="148">
        <f>Données!A148</f>
        <v>5646</v>
      </c>
      <c r="B148" s="156" t="str">
        <f>Données!B148</f>
        <v>Saint-Prex</v>
      </c>
      <c r="C148" s="318">
        <f>Données!C148</f>
        <v>5868</v>
      </c>
      <c r="D148" s="319">
        <f>Données!D148</f>
        <v>59</v>
      </c>
      <c r="E148" s="320">
        <f>Données!E148</f>
        <v>1.2</v>
      </c>
      <c r="F148" s="321">
        <f>Données!F148</f>
        <v>13673030.1</v>
      </c>
      <c r="G148" s="321">
        <f>Données!G148</f>
        <v>3330999.02</v>
      </c>
      <c r="H148" s="321">
        <f>Données!H148</f>
        <v>2059685.4</v>
      </c>
      <c r="I148" s="321">
        <f>Données!I148</f>
        <v>4972169.5999999996</v>
      </c>
      <c r="J148" s="321">
        <f>Données!J148</f>
        <v>616588.51</v>
      </c>
      <c r="K148" s="321">
        <f>Données!K148</f>
        <v>18754.23</v>
      </c>
      <c r="L148" s="321">
        <f>Données!L148</f>
        <v>-253692.95</v>
      </c>
      <c r="M148" s="321">
        <f>Données!M148</f>
        <v>-8883</v>
      </c>
      <c r="N148" s="321">
        <f>Données!N148</f>
        <v>694179.39524112211</v>
      </c>
      <c r="O148" s="321">
        <f>Données!O148</f>
        <v>2161833.35</v>
      </c>
      <c r="P148" s="321">
        <f>Données!P148</f>
        <v>616636.19999999995</v>
      </c>
      <c r="Q148" s="321">
        <f>Données!Q148</f>
        <v>75821.05</v>
      </c>
      <c r="R148" s="321">
        <f>Données!R148</f>
        <v>-112171.63</v>
      </c>
      <c r="S148" s="313"/>
      <c r="T148" s="302">
        <f t="shared" si="12"/>
        <v>28712480.620549295</v>
      </c>
      <c r="U148" s="322">
        <f t="shared" si="13"/>
        <v>1801527.7916666667</v>
      </c>
      <c r="V148" s="322">
        <f t="shared" si="14"/>
        <v>580285.62</v>
      </c>
      <c r="W148" s="323">
        <f t="shared" si="15"/>
        <v>31094294.032215964</v>
      </c>
      <c r="X148" s="302">
        <f t="shared" si="16"/>
        <v>5298.959446526238</v>
      </c>
      <c r="Y148" s="324">
        <f t="shared" si="17"/>
        <v>1.586317862310795</v>
      </c>
    </row>
    <row r="149" spans="1:25" x14ac:dyDescent="0.25">
      <c r="A149" s="148">
        <f>Données!A149</f>
        <v>5648</v>
      </c>
      <c r="B149" s="156" t="str">
        <f>Données!B149</f>
        <v>Saint-Sulpice</v>
      </c>
      <c r="C149" s="318">
        <f>Données!C149</f>
        <v>5157</v>
      </c>
      <c r="D149" s="319">
        <f>Données!D149</f>
        <v>55</v>
      </c>
      <c r="E149" s="320">
        <f>Données!E149</f>
        <v>0.8</v>
      </c>
      <c r="F149" s="321">
        <f>Données!F149</f>
        <v>16109908.109999999</v>
      </c>
      <c r="G149" s="321">
        <f>Données!G149</f>
        <v>4049354.36</v>
      </c>
      <c r="H149" s="321">
        <f>Données!H149</f>
        <v>645198.55000000005</v>
      </c>
      <c r="I149" s="321">
        <f>Données!I149</f>
        <v>120545.7</v>
      </c>
      <c r="J149" s="321">
        <f>Données!J149</f>
        <v>200450.09</v>
      </c>
      <c r="K149" s="321">
        <f>Données!K149</f>
        <v>9006.44</v>
      </c>
      <c r="L149" s="321">
        <f>Données!L149</f>
        <v>-313611.81</v>
      </c>
      <c r="M149" s="321">
        <f>Données!M149</f>
        <v>-1936.66</v>
      </c>
      <c r="N149" s="321">
        <f>Données!N149</f>
        <v>75593.691902686653</v>
      </c>
      <c r="O149" s="321">
        <f>Données!O149</f>
        <v>1472095.11</v>
      </c>
      <c r="P149" s="321">
        <f>Données!P149</f>
        <v>522049</v>
      </c>
      <c r="Q149" s="321">
        <f>Données!Q149</f>
        <v>197240.75</v>
      </c>
      <c r="R149" s="321">
        <f>Données!R149</f>
        <v>-86160.14</v>
      </c>
      <c r="S149" s="313"/>
      <c r="T149" s="302">
        <f t="shared" si="12"/>
        <v>25637135.932153814</v>
      </c>
      <c r="U149" s="322">
        <f t="shared" si="13"/>
        <v>1840118.8875</v>
      </c>
      <c r="V149" s="322">
        <f t="shared" si="14"/>
        <v>633129.61</v>
      </c>
      <c r="W149" s="323">
        <f t="shared" si="15"/>
        <v>28110384.429653812</v>
      </c>
      <c r="X149" s="302">
        <f t="shared" si="16"/>
        <v>5450.9180588818717</v>
      </c>
      <c r="Y149" s="324">
        <f t="shared" si="17"/>
        <v>1.6318088051165054</v>
      </c>
    </row>
    <row r="150" spans="1:25" x14ac:dyDescent="0.25">
      <c r="A150" s="148">
        <f>Données!A150</f>
        <v>5649</v>
      </c>
      <c r="B150" s="156" t="str">
        <f>Données!B150</f>
        <v>Tolochenaz</v>
      </c>
      <c r="C150" s="318">
        <f>Données!C150</f>
        <v>1934</v>
      </c>
      <c r="D150" s="319">
        <f>Données!D150</f>
        <v>64</v>
      </c>
      <c r="E150" s="320">
        <f>Données!E150</f>
        <v>1</v>
      </c>
      <c r="F150" s="321">
        <f>Données!F150</f>
        <v>4625396.22</v>
      </c>
      <c r="G150" s="321">
        <f>Données!G150</f>
        <v>199120.72</v>
      </c>
      <c r="H150" s="321">
        <f>Données!H150</f>
        <v>18057975.649999999</v>
      </c>
      <c r="I150" s="321">
        <f>Données!I150</f>
        <v>215196.2</v>
      </c>
      <c r="J150" s="321">
        <f>Données!J150</f>
        <v>0</v>
      </c>
      <c r="K150" s="321">
        <f>Données!K150</f>
        <v>11111.34</v>
      </c>
      <c r="L150" s="321">
        <f>Données!L150</f>
        <v>-70671.37</v>
      </c>
      <c r="M150" s="321">
        <f>Données!M150</f>
        <v>-1190</v>
      </c>
      <c r="N150" s="321">
        <f>Données!N150</f>
        <v>1803913.673414781</v>
      </c>
      <c r="O150" s="321">
        <f>Données!O150</f>
        <v>603710.65</v>
      </c>
      <c r="P150" s="321">
        <f>Données!P150</f>
        <v>510061.44</v>
      </c>
      <c r="Q150" s="321">
        <f>Données!Q150</f>
        <v>78106.100000000006</v>
      </c>
      <c r="R150" s="321">
        <f>Données!R150</f>
        <v>-3440.5</v>
      </c>
      <c r="S150" s="313"/>
      <c r="T150" s="302">
        <f t="shared" si="12"/>
        <v>26193079.276168346</v>
      </c>
      <c r="U150" s="322">
        <f t="shared" si="13"/>
        <v>603710.65</v>
      </c>
      <c r="V150" s="322">
        <f t="shared" si="14"/>
        <v>584727.04000000004</v>
      </c>
      <c r="W150" s="323">
        <f t="shared" si="15"/>
        <v>27381516.966168344</v>
      </c>
      <c r="X150" s="302">
        <f t="shared" si="16"/>
        <v>14157.971544037406</v>
      </c>
      <c r="Y150" s="324">
        <f t="shared" si="17"/>
        <v>4.2383874383333193</v>
      </c>
    </row>
    <row r="151" spans="1:25" x14ac:dyDescent="0.25">
      <c r="A151" s="148">
        <f>Données!A151</f>
        <v>5650</v>
      </c>
      <c r="B151" s="156" t="str">
        <f>Données!B151</f>
        <v>Vaux-sur-Morges</v>
      </c>
      <c r="C151" s="318">
        <f>Données!C151</f>
        <v>185</v>
      </c>
      <c r="D151" s="319">
        <f>Données!D151</f>
        <v>56</v>
      </c>
      <c r="E151" s="320">
        <f>Données!E151</f>
        <v>1.25</v>
      </c>
      <c r="F151" s="321">
        <f>Données!F151</f>
        <v>2372261</v>
      </c>
      <c r="G151" s="321">
        <f>Données!G151</f>
        <v>4111686.95</v>
      </c>
      <c r="H151" s="321">
        <f>Données!H151</f>
        <v>2246.8000000000002</v>
      </c>
      <c r="I151" s="321">
        <f>Données!I151</f>
        <v>319.8</v>
      </c>
      <c r="J151" s="321">
        <f>Données!J151</f>
        <v>0</v>
      </c>
      <c r="K151" s="321">
        <f>Données!K151</f>
        <v>0</v>
      </c>
      <c r="L151" s="321">
        <f>Données!L151</f>
        <v>-215.07</v>
      </c>
      <c r="M151" s="321">
        <f>Données!M151</f>
        <v>0</v>
      </c>
      <c r="N151" s="321">
        <f>Données!N151</f>
        <v>253.37280643953329</v>
      </c>
      <c r="O151" s="321">
        <f>Données!O151</f>
        <v>58064</v>
      </c>
      <c r="P151" s="321">
        <f>Données!P151</f>
        <v>-1496.06</v>
      </c>
      <c r="Q151" s="321">
        <f>Données!Q151</f>
        <v>0</v>
      </c>
      <c r="R151" s="321">
        <f>Données!R151</f>
        <v>-4868.8500000000004</v>
      </c>
      <c r="S151" s="313"/>
      <c r="T151" s="302">
        <f t="shared" si="12"/>
        <v>7816745.4683442358</v>
      </c>
      <c r="U151" s="322">
        <f t="shared" si="13"/>
        <v>46451.199999999997</v>
      </c>
      <c r="V151" s="322">
        <f t="shared" si="14"/>
        <v>-6364.91</v>
      </c>
      <c r="W151" s="323">
        <f t="shared" si="15"/>
        <v>7856831.7583442358</v>
      </c>
      <c r="X151" s="302">
        <f t="shared" si="16"/>
        <v>42469.360855914791</v>
      </c>
      <c r="Y151" s="324">
        <f t="shared" si="17"/>
        <v>12.713799078199253</v>
      </c>
    </row>
    <row r="152" spans="1:25" x14ac:dyDescent="0.25">
      <c r="A152" s="148">
        <f>Données!A152</f>
        <v>5651</v>
      </c>
      <c r="B152" s="156" t="str">
        <f>Données!B152</f>
        <v>Villars-Sainte-Croix</v>
      </c>
      <c r="C152" s="318">
        <f>Données!C152</f>
        <v>955</v>
      </c>
      <c r="D152" s="319">
        <f>Données!D152</f>
        <v>60.5</v>
      </c>
      <c r="E152" s="320">
        <f>Données!E152</f>
        <v>1</v>
      </c>
      <c r="F152" s="321">
        <f>Données!F152</f>
        <v>1937570.99</v>
      </c>
      <c r="G152" s="321">
        <f>Données!G152</f>
        <v>344649.03</v>
      </c>
      <c r="H152" s="321">
        <f>Données!H152</f>
        <v>1009519.8</v>
      </c>
      <c r="I152" s="321">
        <f>Données!I152</f>
        <v>846.8</v>
      </c>
      <c r="J152" s="321">
        <f>Données!J152</f>
        <v>0</v>
      </c>
      <c r="K152" s="321">
        <f>Données!K152</f>
        <v>6600.52</v>
      </c>
      <c r="L152" s="321">
        <f>Données!L152</f>
        <v>-60795.19</v>
      </c>
      <c r="M152" s="321">
        <f>Données!M152</f>
        <v>-4367</v>
      </c>
      <c r="N152" s="321">
        <f>Données!N152</f>
        <v>99742.624863542951</v>
      </c>
      <c r="O152" s="321">
        <f>Données!O152</f>
        <v>392515.1</v>
      </c>
      <c r="P152" s="321">
        <f>Données!P152</f>
        <v>20193.48</v>
      </c>
      <c r="Q152" s="321">
        <f>Données!Q152</f>
        <v>44565.4</v>
      </c>
      <c r="R152" s="321">
        <f>Données!R152</f>
        <v>-1279.4000000000001</v>
      </c>
      <c r="S152" s="313"/>
      <c r="T152" s="302">
        <f t="shared" si="12"/>
        <v>3718604.4099888513</v>
      </c>
      <c r="U152" s="322">
        <f t="shared" si="13"/>
        <v>392515.1</v>
      </c>
      <c r="V152" s="322">
        <f t="shared" si="14"/>
        <v>63479.48</v>
      </c>
      <c r="W152" s="323">
        <f t="shared" si="15"/>
        <v>4174598.9899888514</v>
      </c>
      <c r="X152" s="302">
        <f t="shared" si="16"/>
        <v>4371.3078429202633</v>
      </c>
      <c r="Y152" s="324">
        <f t="shared" si="17"/>
        <v>1.3086123384902468</v>
      </c>
    </row>
    <row r="153" spans="1:25" x14ac:dyDescent="0.25">
      <c r="A153" s="148">
        <f>Données!A153</f>
        <v>5652</v>
      </c>
      <c r="B153" s="156" t="str">
        <f>Données!B153</f>
        <v>Villars-sous-Yens</v>
      </c>
      <c r="C153" s="318">
        <f>Données!C153</f>
        <v>602</v>
      </c>
      <c r="D153" s="319">
        <f>Données!D153</f>
        <v>74</v>
      </c>
      <c r="E153" s="320">
        <f>Données!E153</f>
        <v>1.2</v>
      </c>
      <c r="F153" s="321">
        <f>Données!F153</f>
        <v>1588717.14</v>
      </c>
      <c r="G153" s="321">
        <f>Données!G153</f>
        <v>284078.37</v>
      </c>
      <c r="H153" s="321">
        <f>Données!H153</f>
        <v>37184.75</v>
      </c>
      <c r="I153" s="321">
        <f>Données!I153</f>
        <v>1395.05</v>
      </c>
      <c r="J153" s="321">
        <f>Données!J153</f>
        <v>0</v>
      </c>
      <c r="K153" s="321">
        <f>Données!K153</f>
        <v>0</v>
      </c>
      <c r="L153" s="321">
        <f>Données!L153</f>
        <v>-21015.65</v>
      </c>
      <c r="M153" s="321">
        <f>Données!M153</f>
        <v>0</v>
      </c>
      <c r="N153" s="321">
        <f>Données!N153</f>
        <v>3808.5686113441539</v>
      </c>
      <c r="O153" s="321">
        <f>Données!O153</f>
        <v>145267.9</v>
      </c>
      <c r="P153" s="321">
        <f>Données!P153</f>
        <v>7952.77</v>
      </c>
      <c r="Q153" s="321">
        <f>Données!Q153</f>
        <v>1419.15</v>
      </c>
      <c r="R153" s="321">
        <f>Données!R153</f>
        <v>-1563.9</v>
      </c>
      <c r="S153" s="313"/>
      <c r="T153" s="302">
        <f t="shared" si="12"/>
        <v>1727375.9334134103</v>
      </c>
      <c r="U153" s="322">
        <f t="shared" si="13"/>
        <v>121056.58333333333</v>
      </c>
      <c r="V153" s="322">
        <f t="shared" si="14"/>
        <v>7808.02</v>
      </c>
      <c r="W153" s="323">
        <f t="shared" si="15"/>
        <v>1856240.5367467436</v>
      </c>
      <c r="X153" s="302">
        <f t="shared" si="16"/>
        <v>3083.4560411075477</v>
      </c>
      <c r="Y153" s="324">
        <f t="shared" si="17"/>
        <v>0.92307583121165004</v>
      </c>
    </row>
    <row r="154" spans="1:25" x14ac:dyDescent="0.25">
      <c r="A154" s="148">
        <f>Données!A154</f>
        <v>5653</v>
      </c>
      <c r="B154" s="156" t="str">
        <f>Données!B154</f>
        <v>Vufflens-le-Château</v>
      </c>
      <c r="C154" s="318">
        <f>Données!C154</f>
        <v>838</v>
      </c>
      <c r="D154" s="319">
        <f>Données!D154</f>
        <v>60.5</v>
      </c>
      <c r="E154" s="320">
        <f>Données!E154</f>
        <v>0.8</v>
      </c>
      <c r="F154" s="321">
        <f>Données!F154</f>
        <v>3249687.08</v>
      </c>
      <c r="G154" s="321">
        <f>Données!G154</f>
        <v>983690.04</v>
      </c>
      <c r="H154" s="321">
        <f>Données!H154</f>
        <v>7426.5</v>
      </c>
      <c r="I154" s="321">
        <f>Données!I154</f>
        <v>-1392.7</v>
      </c>
      <c r="J154" s="321">
        <f>Données!J154</f>
        <v>134403.9</v>
      </c>
      <c r="K154" s="321">
        <f>Données!K154</f>
        <v>1076.05</v>
      </c>
      <c r="L154" s="321">
        <f>Données!L154</f>
        <v>-6209.28</v>
      </c>
      <c r="M154" s="321">
        <f>Données!M154</f>
        <v>-2600</v>
      </c>
      <c r="N154" s="321">
        <f>Données!N154</f>
        <v>595.65216219701381</v>
      </c>
      <c r="O154" s="321">
        <f>Données!O154</f>
        <v>218847.7</v>
      </c>
      <c r="P154" s="321">
        <f>Données!P154</f>
        <v>19540.990000000002</v>
      </c>
      <c r="Q154" s="321">
        <f>Données!Q154</f>
        <v>3354.4</v>
      </c>
      <c r="R154" s="321">
        <f>Données!R154</f>
        <v>-53946.7</v>
      </c>
      <c r="S154" s="313"/>
      <c r="T154" s="302">
        <f t="shared" si="12"/>
        <v>4870749.0504544089</v>
      </c>
      <c r="U154" s="322">
        <f t="shared" si="13"/>
        <v>273559.625</v>
      </c>
      <c r="V154" s="322">
        <f t="shared" si="14"/>
        <v>-31051.309999999994</v>
      </c>
      <c r="W154" s="323">
        <f t="shared" si="15"/>
        <v>5113257.3654544093</v>
      </c>
      <c r="X154" s="302">
        <f t="shared" si="16"/>
        <v>6101.7390995876003</v>
      </c>
      <c r="Y154" s="324">
        <f t="shared" si="17"/>
        <v>1.826641215603436</v>
      </c>
    </row>
    <row r="155" spans="1:25" x14ac:dyDescent="0.25">
      <c r="A155" s="148">
        <f>Données!A155</f>
        <v>5654</v>
      </c>
      <c r="B155" s="156" t="str">
        <f>Données!B155</f>
        <v>Vullierens</v>
      </c>
      <c r="C155" s="318">
        <f>Données!C155</f>
        <v>548</v>
      </c>
      <c r="D155" s="319">
        <f>Données!D155</f>
        <v>76</v>
      </c>
      <c r="E155" s="320">
        <f>Données!E155</f>
        <v>1</v>
      </c>
      <c r="F155" s="321">
        <f>Données!F155</f>
        <v>1299477.26</v>
      </c>
      <c r="G155" s="321">
        <f>Données!G155</f>
        <v>293205.63</v>
      </c>
      <c r="H155" s="321">
        <f>Données!H155</f>
        <v>23003</v>
      </c>
      <c r="I155" s="321">
        <f>Données!I155</f>
        <v>276.64999999999998</v>
      </c>
      <c r="J155" s="321">
        <f>Données!J155</f>
        <v>0</v>
      </c>
      <c r="K155" s="321">
        <f>Données!K155</f>
        <v>1714.61</v>
      </c>
      <c r="L155" s="321">
        <f>Données!L155</f>
        <v>-2452.8200000000002</v>
      </c>
      <c r="M155" s="321">
        <f>Données!M155</f>
        <v>-350</v>
      </c>
      <c r="N155" s="321">
        <f>Données!N155</f>
        <v>2298.1494013208448</v>
      </c>
      <c r="O155" s="321">
        <f>Données!O155</f>
        <v>119734.1</v>
      </c>
      <c r="P155" s="321">
        <f>Données!P155</f>
        <v>14851.54</v>
      </c>
      <c r="Q155" s="321">
        <f>Données!Q155</f>
        <v>1902.5</v>
      </c>
      <c r="R155" s="321">
        <f>Données!R155</f>
        <v>-286.89999999999998</v>
      </c>
      <c r="S155" s="313"/>
      <c r="T155" s="302">
        <f t="shared" si="12"/>
        <v>1435961.4673487993</v>
      </c>
      <c r="U155" s="322">
        <f t="shared" si="13"/>
        <v>119734.1</v>
      </c>
      <c r="V155" s="322">
        <f t="shared" si="14"/>
        <v>16467.14</v>
      </c>
      <c r="W155" s="323">
        <f t="shared" si="15"/>
        <v>1572162.7073487993</v>
      </c>
      <c r="X155" s="302">
        <f t="shared" si="16"/>
        <v>2868.910049906568</v>
      </c>
      <c r="Y155" s="324">
        <f t="shared" si="17"/>
        <v>0.8588484783579875</v>
      </c>
    </row>
    <row r="156" spans="1:25" x14ac:dyDescent="0.25">
      <c r="A156" s="148">
        <f>Données!A156</f>
        <v>5655</v>
      </c>
      <c r="B156" s="156" t="str">
        <f>Données!B156</f>
        <v>Yens</v>
      </c>
      <c r="C156" s="318">
        <f>Données!C156</f>
        <v>1502</v>
      </c>
      <c r="D156" s="319">
        <f>Données!D156</f>
        <v>70</v>
      </c>
      <c r="E156" s="320">
        <f>Données!E156</f>
        <v>1</v>
      </c>
      <c r="F156" s="321">
        <f>Données!F156</f>
        <v>4325493.59</v>
      </c>
      <c r="G156" s="321">
        <f>Données!G156</f>
        <v>1036758.38</v>
      </c>
      <c r="H156" s="321">
        <f>Données!H156</f>
        <v>81065.5</v>
      </c>
      <c r="I156" s="321">
        <f>Données!I156</f>
        <v>3934.9</v>
      </c>
      <c r="J156" s="321">
        <f>Données!J156</f>
        <v>81684.5</v>
      </c>
      <c r="K156" s="321">
        <f>Données!K156</f>
        <v>10191.64</v>
      </c>
      <c r="L156" s="321">
        <f>Données!L156</f>
        <v>-40185.379999999997</v>
      </c>
      <c r="M156" s="321">
        <f>Données!M156</f>
        <v>-2600</v>
      </c>
      <c r="N156" s="321">
        <f>Données!N156</f>
        <v>8391.1750551246405</v>
      </c>
      <c r="O156" s="321">
        <f>Données!O156</f>
        <v>454328.75</v>
      </c>
      <c r="P156" s="321">
        <f>Données!P156</f>
        <v>49412.46</v>
      </c>
      <c r="Q156" s="321">
        <f>Données!Q156</f>
        <v>226.95</v>
      </c>
      <c r="R156" s="321">
        <f>Données!R156</f>
        <v>-15995.6</v>
      </c>
      <c r="S156" s="313"/>
      <c r="T156" s="302">
        <f t="shared" si="12"/>
        <v>5306868.8913695607</v>
      </c>
      <c r="U156" s="322">
        <f t="shared" si="13"/>
        <v>454328.75</v>
      </c>
      <c r="V156" s="322">
        <f t="shared" si="14"/>
        <v>33643.81</v>
      </c>
      <c r="W156" s="323">
        <f t="shared" si="15"/>
        <v>5794841.4513695603</v>
      </c>
      <c r="X156" s="302">
        <f t="shared" si="16"/>
        <v>3858.0835228825304</v>
      </c>
      <c r="Y156" s="324">
        <f t="shared" si="17"/>
        <v>1.1549714370144148</v>
      </c>
    </row>
    <row r="157" spans="1:25" x14ac:dyDescent="0.25">
      <c r="A157" s="148">
        <f>Données!A157</f>
        <v>5656</v>
      </c>
      <c r="B157" s="156" t="str">
        <f>Données!B157</f>
        <v>Hautemorges</v>
      </c>
      <c r="C157" s="318">
        <f>Données!C157</f>
        <v>4387</v>
      </c>
      <c r="D157" s="319">
        <f>Données!D157</f>
        <v>71</v>
      </c>
      <c r="E157" s="320">
        <f>Données!E157</f>
        <v>1</v>
      </c>
      <c r="F157" s="321">
        <f>Données!F157</f>
        <v>9022994.2300000004</v>
      </c>
      <c r="G157" s="321">
        <f>Données!G157</f>
        <v>1444519.82</v>
      </c>
      <c r="H157" s="321">
        <f>Données!H157</f>
        <v>234562.05</v>
      </c>
      <c r="I157" s="321">
        <f>Données!I157</f>
        <v>175520.25</v>
      </c>
      <c r="J157" s="321">
        <f>Données!J157</f>
        <v>220262.15</v>
      </c>
      <c r="K157" s="321">
        <f>Données!K157</f>
        <v>85170.59</v>
      </c>
      <c r="L157" s="321">
        <f>Données!L157</f>
        <v>-90353.99</v>
      </c>
      <c r="M157" s="321">
        <f>Données!M157</f>
        <v>-3350</v>
      </c>
      <c r="N157" s="321">
        <f>Données!N157</f>
        <v>40483.013801207278</v>
      </c>
      <c r="O157" s="321">
        <f>Données!O157</f>
        <v>930796.5</v>
      </c>
      <c r="P157" s="321">
        <f>Données!P157</f>
        <v>263072.17</v>
      </c>
      <c r="Q157" s="321">
        <f>Données!Q157</f>
        <v>29329.75</v>
      </c>
      <c r="R157" s="321">
        <f>Données!R157</f>
        <v>-10940.09</v>
      </c>
      <c r="S157" s="313"/>
      <c r="T157" s="302">
        <f t="shared" si="12"/>
        <v>10578628.468559301</v>
      </c>
      <c r="U157" s="322">
        <f t="shared" si="13"/>
        <v>930796.5</v>
      </c>
      <c r="V157" s="322">
        <f t="shared" si="14"/>
        <v>281461.82999999996</v>
      </c>
      <c r="W157" s="323">
        <f t="shared" si="15"/>
        <v>11790886.798559301</v>
      </c>
      <c r="X157" s="302">
        <f t="shared" si="16"/>
        <v>2687.6878957281288</v>
      </c>
      <c r="Y157" s="324">
        <f t="shared" si="17"/>
        <v>0.80459708369820093</v>
      </c>
    </row>
    <row r="158" spans="1:25" x14ac:dyDescent="0.25">
      <c r="A158" s="148">
        <f>Données!A158</f>
        <v>5661</v>
      </c>
      <c r="B158" s="156" t="str">
        <f>Données!B158</f>
        <v>Boulens</v>
      </c>
      <c r="C158" s="318">
        <f>Données!C158</f>
        <v>368</v>
      </c>
      <c r="D158" s="319">
        <f>Données!D158</f>
        <v>71.5</v>
      </c>
      <c r="E158" s="320">
        <f>Données!E158</f>
        <v>1</v>
      </c>
      <c r="F158" s="321">
        <f>Données!F158</f>
        <v>613125.71</v>
      </c>
      <c r="G158" s="321">
        <f>Données!G158</f>
        <v>52080.02</v>
      </c>
      <c r="H158" s="321">
        <f>Données!H158</f>
        <v>-797.2</v>
      </c>
      <c r="I158" s="321">
        <f>Données!I158</f>
        <v>79.400000000000006</v>
      </c>
      <c r="J158" s="321">
        <f>Données!J158</f>
        <v>0</v>
      </c>
      <c r="K158" s="321">
        <f>Données!K158</f>
        <v>0</v>
      </c>
      <c r="L158" s="321">
        <f>Données!L158</f>
        <v>-11685.16</v>
      </c>
      <c r="M158" s="321">
        <f>Données!M158</f>
        <v>0</v>
      </c>
      <c r="N158" s="321">
        <f>Données!N158</f>
        <v>-70.860671885878972</v>
      </c>
      <c r="O158" s="321">
        <f>Données!O158</f>
        <v>64029.4</v>
      </c>
      <c r="P158" s="321">
        <f>Données!P158</f>
        <v>2760.69</v>
      </c>
      <c r="Q158" s="321">
        <f>Données!Q158</f>
        <v>555</v>
      </c>
      <c r="R158" s="321">
        <f>Données!R158</f>
        <v>-13.15</v>
      </c>
      <c r="S158" s="313"/>
      <c r="T158" s="302">
        <f t="shared" si="12"/>
        <v>616068.26609312498</v>
      </c>
      <c r="U158" s="322">
        <f t="shared" si="13"/>
        <v>64029.4</v>
      </c>
      <c r="V158" s="322">
        <f t="shared" si="14"/>
        <v>3302.54</v>
      </c>
      <c r="W158" s="323">
        <f t="shared" si="15"/>
        <v>683400.20609312505</v>
      </c>
      <c r="X158" s="302">
        <f t="shared" si="16"/>
        <v>1857.0657774269703</v>
      </c>
      <c r="Y158" s="324">
        <f t="shared" si="17"/>
        <v>0.55593869776634819</v>
      </c>
    </row>
    <row r="159" spans="1:25" x14ac:dyDescent="0.25">
      <c r="A159" s="148">
        <f>Données!A159</f>
        <v>5663</v>
      </c>
      <c r="B159" s="156" t="str">
        <f>Données!B159</f>
        <v>Bussy-sur-Moudon</v>
      </c>
      <c r="C159" s="318">
        <f>Données!C159</f>
        <v>262</v>
      </c>
      <c r="D159" s="319">
        <f>Données!D159</f>
        <v>78.5</v>
      </c>
      <c r="E159" s="320">
        <f>Données!E159</f>
        <v>1</v>
      </c>
      <c r="F159" s="321">
        <f>Données!F159</f>
        <v>387699.32</v>
      </c>
      <c r="G159" s="321">
        <f>Données!G159</f>
        <v>28140.51</v>
      </c>
      <c r="H159" s="321">
        <f>Données!H159</f>
        <v>4657.8999999999996</v>
      </c>
      <c r="I159" s="321">
        <f>Données!I159</f>
        <v>862.2</v>
      </c>
      <c r="J159" s="321">
        <f>Données!J159</f>
        <v>0</v>
      </c>
      <c r="K159" s="321">
        <f>Données!K159</f>
        <v>0</v>
      </c>
      <c r="L159" s="321">
        <f>Données!L159</f>
        <v>-2287.7399999999998</v>
      </c>
      <c r="M159" s="321">
        <f>Données!M159</f>
        <v>0</v>
      </c>
      <c r="N159" s="321">
        <f>Données!N159</f>
        <v>544.94008759715859</v>
      </c>
      <c r="O159" s="321">
        <f>Données!O159</f>
        <v>38157.65</v>
      </c>
      <c r="P159" s="321">
        <f>Données!P159</f>
        <v>-610.38</v>
      </c>
      <c r="Q159" s="321">
        <f>Données!Q159</f>
        <v>325.2</v>
      </c>
      <c r="R159" s="321">
        <f>Données!R159</f>
        <v>0</v>
      </c>
      <c r="S159" s="313"/>
      <c r="T159" s="302">
        <f t="shared" si="12"/>
        <v>360731.10227324598</v>
      </c>
      <c r="U159" s="322">
        <f t="shared" si="13"/>
        <v>38157.65</v>
      </c>
      <c r="V159" s="322">
        <f t="shared" si="14"/>
        <v>-285.18</v>
      </c>
      <c r="W159" s="323">
        <f t="shared" si="15"/>
        <v>398603.57227324601</v>
      </c>
      <c r="X159" s="302">
        <f t="shared" si="16"/>
        <v>1521.3876804322367</v>
      </c>
      <c r="Y159" s="324">
        <f t="shared" si="17"/>
        <v>0.45544874938632818</v>
      </c>
    </row>
    <row r="160" spans="1:25" x14ac:dyDescent="0.25">
      <c r="A160" s="148">
        <f>Données!A160</f>
        <v>5665</v>
      </c>
      <c r="B160" s="156" t="str">
        <f>Données!B160</f>
        <v>Chavannes-sur-Moudon</v>
      </c>
      <c r="C160" s="318">
        <f>Données!C160</f>
        <v>229</v>
      </c>
      <c r="D160" s="319">
        <f>Données!D160</f>
        <v>70</v>
      </c>
      <c r="E160" s="320">
        <f>Données!E160</f>
        <v>1</v>
      </c>
      <c r="F160" s="321">
        <f>Données!F160</f>
        <v>377176.22</v>
      </c>
      <c r="G160" s="321">
        <f>Données!G160</f>
        <v>44148.45</v>
      </c>
      <c r="H160" s="321">
        <f>Données!H160</f>
        <v>2076.25</v>
      </c>
      <c r="I160" s="321">
        <f>Données!I160</f>
        <v>59.4</v>
      </c>
      <c r="J160" s="321">
        <f>Données!J160</f>
        <v>0</v>
      </c>
      <c r="K160" s="321">
        <f>Données!K160</f>
        <v>0</v>
      </c>
      <c r="L160" s="321">
        <f>Données!L160</f>
        <v>-6607.48</v>
      </c>
      <c r="M160" s="321">
        <f>Données!M160</f>
        <v>0</v>
      </c>
      <c r="N160" s="321">
        <f>Données!N160</f>
        <v>210.82974911267405</v>
      </c>
      <c r="O160" s="321">
        <f>Données!O160</f>
        <v>30870.799999999999</v>
      </c>
      <c r="P160" s="321">
        <f>Données!P160</f>
        <v>10725.07</v>
      </c>
      <c r="Q160" s="321">
        <f>Données!Q160</f>
        <v>54.5</v>
      </c>
      <c r="R160" s="321">
        <f>Données!R160</f>
        <v>0</v>
      </c>
      <c r="S160" s="313"/>
      <c r="T160" s="302">
        <f t="shared" si="12"/>
        <v>402072.48743676284</v>
      </c>
      <c r="U160" s="322">
        <f t="shared" si="13"/>
        <v>30870.799999999999</v>
      </c>
      <c r="V160" s="322">
        <f t="shared" si="14"/>
        <v>10779.57</v>
      </c>
      <c r="W160" s="323">
        <f t="shared" si="15"/>
        <v>443722.85743676283</v>
      </c>
      <c r="X160" s="302">
        <f t="shared" si="16"/>
        <v>1937.6543992871739</v>
      </c>
      <c r="Y160" s="324">
        <f t="shared" si="17"/>
        <v>0.58006403249402894</v>
      </c>
    </row>
    <row r="161" spans="1:25" x14ac:dyDescent="0.25">
      <c r="A161" s="148">
        <f>Données!A161</f>
        <v>5669</v>
      </c>
      <c r="B161" s="156" t="str">
        <f>Données!B161</f>
        <v>Curtilles</v>
      </c>
      <c r="C161" s="318">
        <f>Données!C161</f>
        <v>308</v>
      </c>
      <c r="D161" s="319">
        <f>Données!D161</f>
        <v>73</v>
      </c>
      <c r="E161" s="320">
        <f>Données!E161</f>
        <v>0.5</v>
      </c>
      <c r="F161" s="321">
        <f>Données!F161</f>
        <v>507882.57</v>
      </c>
      <c r="G161" s="321">
        <f>Données!G161</f>
        <v>133949.88</v>
      </c>
      <c r="H161" s="321">
        <f>Données!H161</f>
        <v>11760.65</v>
      </c>
      <c r="I161" s="321">
        <f>Données!I161</f>
        <v>471</v>
      </c>
      <c r="J161" s="321">
        <f>Données!J161</f>
        <v>0</v>
      </c>
      <c r="K161" s="321">
        <f>Données!K161</f>
        <v>4718.57</v>
      </c>
      <c r="L161" s="321">
        <f>Données!L161</f>
        <v>-6201.35</v>
      </c>
      <c r="M161" s="321">
        <f>Données!M161</f>
        <v>0</v>
      </c>
      <c r="N161" s="321">
        <f>Données!N161</f>
        <v>1207.4992160391635</v>
      </c>
      <c r="O161" s="321">
        <f>Données!O161</f>
        <v>25284</v>
      </c>
      <c r="P161" s="321">
        <f>Données!P161</f>
        <v>-4523.49</v>
      </c>
      <c r="Q161" s="321">
        <f>Données!Q161</f>
        <v>255.9</v>
      </c>
      <c r="R161" s="321">
        <f>Données!R161</f>
        <v>-47.7</v>
      </c>
      <c r="S161" s="313"/>
      <c r="T161" s="302">
        <f t="shared" si="12"/>
        <v>604386.3754025388</v>
      </c>
      <c r="U161" s="322">
        <f t="shared" si="13"/>
        <v>50568</v>
      </c>
      <c r="V161" s="322">
        <f t="shared" si="14"/>
        <v>-4315.29</v>
      </c>
      <c r="W161" s="323">
        <f t="shared" si="15"/>
        <v>650639.08540253877</v>
      </c>
      <c r="X161" s="302">
        <f t="shared" si="16"/>
        <v>2112.4645629952556</v>
      </c>
      <c r="Y161" s="324">
        <f t="shared" si="17"/>
        <v>0.63239590783710087</v>
      </c>
    </row>
    <row r="162" spans="1:25" x14ac:dyDescent="0.25">
      <c r="A162" s="148">
        <f>Données!A162</f>
        <v>5671</v>
      </c>
      <c r="B162" s="156" t="str">
        <f>Données!B162</f>
        <v>Dompierre</v>
      </c>
      <c r="C162" s="318">
        <f>Données!C162</f>
        <v>240</v>
      </c>
      <c r="D162" s="319">
        <f>Données!D162</f>
        <v>78</v>
      </c>
      <c r="E162" s="320">
        <f>Données!E162</f>
        <v>1</v>
      </c>
      <c r="F162" s="321">
        <f>Données!F162</f>
        <v>397391.7</v>
      </c>
      <c r="G162" s="321">
        <f>Données!G162</f>
        <v>36746.660000000003</v>
      </c>
      <c r="H162" s="321">
        <f>Données!H162</f>
        <v>-4249.1499999999996</v>
      </c>
      <c r="I162" s="321">
        <f>Données!I162</f>
        <v>3275.2</v>
      </c>
      <c r="J162" s="321">
        <f>Données!J162</f>
        <v>0</v>
      </c>
      <c r="K162" s="321">
        <f>Données!K162</f>
        <v>1596.4</v>
      </c>
      <c r="L162" s="321">
        <f>Données!L162</f>
        <v>-9746.84</v>
      </c>
      <c r="M162" s="321">
        <f>Données!M162</f>
        <v>0</v>
      </c>
      <c r="N162" s="321">
        <f>Données!N162</f>
        <v>-96.147605716427705</v>
      </c>
      <c r="O162" s="321">
        <f>Données!O162</f>
        <v>39136.699999999997</v>
      </c>
      <c r="P162" s="321">
        <f>Données!P162</f>
        <v>8703.07</v>
      </c>
      <c r="Q162" s="321">
        <f>Données!Q162</f>
        <v>267</v>
      </c>
      <c r="R162" s="321">
        <f>Données!R162</f>
        <v>0</v>
      </c>
      <c r="S162" s="313"/>
      <c r="T162" s="302">
        <f t="shared" si="12"/>
        <v>367629.5231457405</v>
      </c>
      <c r="U162" s="322">
        <f t="shared" si="13"/>
        <v>39136.699999999997</v>
      </c>
      <c r="V162" s="322">
        <f t="shared" si="14"/>
        <v>8970.07</v>
      </c>
      <c r="W162" s="323">
        <f t="shared" si="15"/>
        <v>415736.29314574052</v>
      </c>
      <c r="X162" s="302">
        <f t="shared" si="16"/>
        <v>1732.2345547739189</v>
      </c>
      <c r="Y162" s="324">
        <f t="shared" si="17"/>
        <v>0.51856871970425045</v>
      </c>
    </row>
    <row r="163" spans="1:25" x14ac:dyDescent="0.25">
      <c r="A163" s="148">
        <f>Données!A163</f>
        <v>5673</v>
      </c>
      <c r="B163" s="156" t="str">
        <f>Données!B163</f>
        <v>Hermenches</v>
      </c>
      <c r="C163" s="318">
        <f>Données!C163</f>
        <v>373</v>
      </c>
      <c r="D163" s="319">
        <f>Données!D163</f>
        <v>73.5</v>
      </c>
      <c r="E163" s="320">
        <f>Données!E163</f>
        <v>0.6</v>
      </c>
      <c r="F163" s="321">
        <f>Données!F163</f>
        <v>606899.81999999995</v>
      </c>
      <c r="G163" s="321">
        <f>Données!G163</f>
        <v>80829.440000000002</v>
      </c>
      <c r="H163" s="321">
        <f>Données!H163</f>
        <v>2268.6</v>
      </c>
      <c r="I163" s="321">
        <f>Données!I163</f>
        <v>815.7</v>
      </c>
      <c r="J163" s="321">
        <f>Données!J163</f>
        <v>0</v>
      </c>
      <c r="K163" s="321">
        <f>Données!K163</f>
        <v>0</v>
      </c>
      <c r="L163" s="321">
        <f>Données!L163</f>
        <v>-12987.47</v>
      </c>
      <c r="M163" s="321">
        <f>Données!M163</f>
        <v>0</v>
      </c>
      <c r="N163" s="321">
        <f>Données!N163</f>
        <v>304.47975800726738</v>
      </c>
      <c r="O163" s="321">
        <f>Données!O163</f>
        <v>30042.9</v>
      </c>
      <c r="P163" s="321">
        <f>Données!P163</f>
        <v>5784.85</v>
      </c>
      <c r="Q163" s="321">
        <f>Données!Q163</f>
        <v>408</v>
      </c>
      <c r="R163" s="321">
        <f>Données!R163</f>
        <v>-44.5</v>
      </c>
      <c r="S163" s="313"/>
      <c r="T163" s="302">
        <f t="shared" si="12"/>
        <v>622624.23328617134</v>
      </c>
      <c r="U163" s="322">
        <f t="shared" si="13"/>
        <v>50071.500000000007</v>
      </c>
      <c r="V163" s="322">
        <f t="shared" si="14"/>
        <v>6148.35</v>
      </c>
      <c r="W163" s="323">
        <f t="shared" si="15"/>
        <v>678844.08328617131</v>
      </c>
      <c r="X163" s="302">
        <f t="shared" si="16"/>
        <v>1819.9573278449634</v>
      </c>
      <c r="Y163" s="324">
        <f t="shared" si="17"/>
        <v>0.54482976269925942</v>
      </c>
    </row>
    <row r="164" spans="1:25" x14ac:dyDescent="0.25">
      <c r="A164" s="148">
        <f>Données!A164</f>
        <v>5674</v>
      </c>
      <c r="B164" s="156" t="str">
        <f>Données!B164</f>
        <v>Lovatens</v>
      </c>
      <c r="C164" s="318">
        <f>Données!C164</f>
        <v>146</v>
      </c>
      <c r="D164" s="319">
        <f>Données!D164</f>
        <v>75</v>
      </c>
      <c r="E164" s="320">
        <f>Données!E164</f>
        <v>0.7</v>
      </c>
      <c r="F164" s="321">
        <f>Données!F164</f>
        <v>265329.15999999997</v>
      </c>
      <c r="G164" s="321">
        <f>Données!G164</f>
        <v>26096.5</v>
      </c>
      <c r="H164" s="321">
        <f>Données!H164</f>
        <v>207.55</v>
      </c>
      <c r="I164" s="321">
        <f>Données!I164</f>
        <v>196.8</v>
      </c>
      <c r="J164" s="321">
        <f>Données!J164</f>
        <v>0</v>
      </c>
      <c r="K164" s="321">
        <f>Données!K164</f>
        <v>983.85</v>
      </c>
      <c r="L164" s="321">
        <f>Données!L164</f>
        <v>-1968.82</v>
      </c>
      <c r="M164" s="321">
        <f>Données!M164</f>
        <v>0</v>
      </c>
      <c r="N164" s="321">
        <f>Données!N164</f>
        <v>39.917125490464144</v>
      </c>
      <c r="O164" s="321">
        <f>Données!O164</f>
        <v>16113.85</v>
      </c>
      <c r="P164" s="321">
        <f>Données!P164</f>
        <v>479.32</v>
      </c>
      <c r="Q164" s="321">
        <f>Données!Q164</f>
        <v>64.099999999999994</v>
      </c>
      <c r="R164" s="321">
        <f>Données!R164</f>
        <v>-145.1</v>
      </c>
      <c r="S164" s="313"/>
      <c r="T164" s="302">
        <f t="shared" si="12"/>
        <v>261733.93569321348</v>
      </c>
      <c r="U164" s="322">
        <f t="shared" si="13"/>
        <v>23019.785714285717</v>
      </c>
      <c r="V164" s="322">
        <f t="shared" si="14"/>
        <v>398.31999999999994</v>
      </c>
      <c r="W164" s="323">
        <f t="shared" si="15"/>
        <v>285152.04140749923</v>
      </c>
      <c r="X164" s="302">
        <f t="shared" si="16"/>
        <v>1953.0961740239673</v>
      </c>
      <c r="Y164" s="324">
        <f t="shared" si="17"/>
        <v>0.58468674443171198</v>
      </c>
    </row>
    <row r="165" spans="1:25" x14ac:dyDescent="0.25">
      <c r="A165" s="148">
        <f>Données!A165</f>
        <v>5675</v>
      </c>
      <c r="B165" s="156" t="str">
        <f>Données!B165</f>
        <v>Lucens</v>
      </c>
      <c r="C165" s="318">
        <f>Données!C165</f>
        <v>4734</v>
      </c>
      <c r="D165" s="319">
        <f>Données!D165</f>
        <v>69.5</v>
      </c>
      <c r="E165" s="320">
        <f>Données!E165</f>
        <v>1.1000000000000001</v>
      </c>
      <c r="F165" s="321">
        <f>Données!F165</f>
        <v>4693072.7699999996</v>
      </c>
      <c r="G165" s="321">
        <f>Données!G165</f>
        <v>640095.79</v>
      </c>
      <c r="H165" s="321">
        <f>Données!H165</f>
        <v>295087.8</v>
      </c>
      <c r="I165" s="321">
        <f>Données!I165</f>
        <v>28289.15</v>
      </c>
      <c r="J165" s="321">
        <f>Données!J165</f>
        <v>0</v>
      </c>
      <c r="K165" s="321">
        <f>Données!K165</f>
        <v>27495.8</v>
      </c>
      <c r="L165" s="321">
        <f>Données!L165</f>
        <v>-147515.85</v>
      </c>
      <c r="M165" s="321">
        <f>Données!M165</f>
        <v>-433</v>
      </c>
      <c r="N165" s="321">
        <f>Données!N165</f>
        <v>31923.527374486333</v>
      </c>
      <c r="O165" s="321">
        <f>Données!O165</f>
        <v>791799.55</v>
      </c>
      <c r="P165" s="321">
        <f>Données!P165</f>
        <v>321167.15000000002</v>
      </c>
      <c r="Q165" s="321">
        <f>Données!Q165</f>
        <v>82770.850000000006</v>
      </c>
      <c r="R165" s="321">
        <f>Données!R165</f>
        <v>-4439.3</v>
      </c>
      <c r="S165" s="313"/>
      <c r="T165" s="302">
        <f t="shared" si="12"/>
        <v>5406493.7521242378</v>
      </c>
      <c r="U165" s="322">
        <f t="shared" si="13"/>
        <v>719817.77272727271</v>
      </c>
      <c r="V165" s="322">
        <f t="shared" si="14"/>
        <v>399498.7</v>
      </c>
      <c r="W165" s="323">
        <f t="shared" si="15"/>
        <v>6525810.2248515105</v>
      </c>
      <c r="X165" s="302">
        <f t="shared" si="16"/>
        <v>1378.4981463564661</v>
      </c>
      <c r="Y165" s="324">
        <f t="shared" si="17"/>
        <v>0.41267276241585693</v>
      </c>
    </row>
    <row r="166" spans="1:25" x14ac:dyDescent="0.25">
      <c r="A166" s="148">
        <f>Données!A166</f>
        <v>5678</v>
      </c>
      <c r="B166" s="156" t="str">
        <f>Données!B166</f>
        <v>Moudon</v>
      </c>
      <c r="C166" s="318">
        <f>Données!C166</f>
        <v>6651</v>
      </c>
      <c r="D166" s="319">
        <f>Données!D166</f>
        <v>72.5</v>
      </c>
      <c r="E166" s="320">
        <f>Données!E166</f>
        <v>1</v>
      </c>
      <c r="F166" s="321">
        <f>Données!F166</f>
        <v>7716365.1699999999</v>
      </c>
      <c r="G166" s="321">
        <f>Données!G166</f>
        <v>845067.95</v>
      </c>
      <c r="H166" s="321">
        <f>Données!H166</f>
        <v>704362.25</v>
      </c>
      <c r="I166" s="321">
        <f>Données!I166</f>
        <v>29539.95</v>
      </c>
      <c r="J166" s="321">
        <f>Données!J166</f>
        <v>0</v>
      </c>
      <c r="K166" s="321">
        <f>Données!K166</f>
        <v>89255</v>
      </c>
      <c r="L166" s="321">
        <f>Données!L166</f>
        <v>-590882.02</v>
      </c>
      <c r="M166" s="321">
        <f>Données!M166</f>
        <v>-174867</v>
      </c>
      <c r="N166" s="321">
        <f>Données!N166</f>
        <v>72450.26886392411</v>
      </c>
      <c r="O166" s="321">
        <f>Données!O166</f>
        <v>946375.75</v>
      </c>
      <c r="P166" s="321">
        <f>Données!P166</f>
        <v>531327.39</v>
      </c>
      <c r="Q166" s="321">
        <f>Données!Q166</f>
        <v>102426.75</v>
      </c>
      <c r="R166" s="321">
        <f>Données!R166</f>
        <v>-5506.68</v>
      </c>
      <c r="S166" s="313"/>
      <c r="T166" s="302">
        <f t="shared" si="12"/>
        <v>8089959.5368021782</v>
      </c>
      <c r="U166" s="322">
        <f t="shared" si="13"/>
        <v>946375.75</v>
      </c>
      <c r="V166" s="322">
        <f t="shared" si="14"/>
        <v>628247.46</v>
      </c>
      <c r="W166" s="323">
        <f t="shared" si="15"/>
        <v>9664582.7468021773</v>
      </c>
      <c r="X166" s="302">
        <f t="shared" si="16"/>
        <v>1453.1022021954859</v>
      </c>
      <c r="Y166" s="324">
        <f t="shared" si="17"/>
        <v>0.4350065333330605</v>
      </c>
    </row>
    <row r="167" spans="1:25" x14ac:dyDescent="0.25">
      <c r="A167" s="148">
        <f>Données!A167</f>
        <v>5680</v>
      </c>
      <c r="B167" s="156" t="str">
        <f>Données!B167</f>
        <v>Ogens</v>
      </c>
      <c r="C167" s="318">
        <f>Données!C167</f>
        <v>341</v>
      </c>
      <c r="D167" s="319">
        <f>Données!D167</f>
        <v>78</v>
      </c>
      <c r="E167" s="320">
        <f>Données!E167</f>
        <v>1.5</v>
      </c>
      <c r="F167" s="321">
        <f>Données!F167</f>
        <v>525836.01</v>
      </c>
      <c r="G167" s="321">
        <f>Données!G167</f>
        <v>85065.14</v>
      </c>
      <c r="H167" s="321">
        <f>Données!H167</f>
        <v>26544</v>
      </c>
      <c r="I167" s="321">
        <f>Données!I167</f>
        <v>3747.5</v>
      </c>
      <c r="J167" s="321">
        <f>Données!J167</f>
        <v>0</v>
      </c>
      <c r="K167" s="321">
        <f>Données!K167</f>
        <v>255.18</v>
      </c>
      <c r="L167" s="321">
        <f>Données!L167</f>
        <v>-4218</v>
      </c>
      <c r="M167" s="321">
        <f>Données!M167</f>
        <v>-67</v>
      </c>
      <c r="N167" s="321">
        <f>Données!N167</f>
        <v>2990.3539181263623</v>
      </c>
      <c r="O167" s="321">
        <f>Données!O167</f>
        <v>94304.8</v>
      </c>
      <c r="P167" s="321">
        <f>Données!P167</f>
        <v>1595.03</v>
      </c>
      <c r="Q167" s="321">
        <f>Données!Q167</f>
        <v>4302.95</v>
      </c>
      <c r="R167" s="321">
        <f>Données!R167</f>
        <v>0.01</v>
      </c>
      <c r="S167" s="313"/>
      <c r="T167" s="302">
        <f t="shared" si="12"/>
        <v>553846.40827250551</v>
      </c>
      <c r="U167" s="322">
        <f t="shared" si="13"/>
        <v>62869.866666666669</v>
      </c>
      <c r="V167" s="322">
        <f t="shared" si="14"/>
        <v>5897.99</v>
      </c>
      <c r="W167" s="323">
        <f t="shared" si="15"/>
        <v>622614.26493917219</v>
      </c>
      <c r="X167" s="302">
        <f t="shared" si="16"/>
        <v>1825.8482842790972</v>
      </c>
      <c r="Y167" s="324">
        <f t="shared" si="17"/>
        <v>0.54659330316637644</v>
      </c>
    </row>
    <row r="168" spans="1:25" x14ac:dyDescent="0.25">
      <c r="A168" s="148">
        <f>Données!A168</f>
        <v>5683</v>
      </c>
      <c r="B168" s="156" t="str">
        <f>Données!B168</f>
        <v>Prévonloup</v>
      </c>
      <c r="C168" s="318">
        <f>Données!C168</f>
        <v>231</v>
      </c>
      <c r="D168" s="319">
        <f>Données!D168</f>
        <v>72.5</v>
      </c>
      <c r="E168" s="320">
        <f>Données!E168</f>
        <v>1</v>
      </c>
      <c r="F168" s="321">
        <f>Données!F168</f>
        <v>178689.7</v>
      </c>
      <c r="G168" s="321">
        <f>Données!G168</f>
        <v>23634.06</v>
      </c>
      <c r="H168" s="321">
        <f>Données!H168</f>
        <v>4230.3</v>
      </c>
      <c r="I168" s="321">
        <f>Données!I168</f>
        <v>821.9</v>
      </c>
      <c r="J168" s="321">
        <f>Données!J168</f>
        <v>0</v>
      </c>
      <c r="K168" s="321">
        <f>Données!K168</f>
        <v>330.95</v>
      </c>
      <c r="L168" s="321">
        <f>Données!L168</f>
        <v>-7232.93</v>
      </c>
      <c r="M168" s="321">
        <f>Données!M168</f>
        <v>-2650</v>
      </c>
      <c r="N168" s="321">
        <f>Données!N168</f>
        <v>498.7493542795176</v>
      </c>
      <c r="O168" s="321">
        <f>Données!O168</f>
        <v>34391.050000000003</v>
      </c>
      <c r="P168" s="321">
        <f>Données!P168</f>
        <v>7917.69</v>
      </c>
      <c r="Q168" s="321">
        <f>Données!Q168</f>
        <v>2570.5</v>
      </c>
      <c r="R168" s="321">
        <f>Données!R168</f>
        <v>0</v>
      </c>
      <c r="S168" s="313"/>
      <c r="T168" s="302">
        <f t="shared" si="12"/>
        <v>184601.20029249141</v>
      </c>
      <c r="U168" s="322">
        <f t="shared" si="13"/>
        <v>34391.050000000003</v>
      </c>
      <c r="V168" s="322">
        <f t="shared" si="14"/>
        <v>10488.189999999999</v>
      </c>
      <c r="W168" s="323">
        <f t="shared" si="15"/>
        <v>229480.4402924914</v>
      </c>
      <c r="X168" s="302">
        <f t="shared" si="16"/>
        <v>993.42181944801473</v>
      </c>
      <c r="Y168" s="324">
        <f t="shared" si="17"/>
        <v>0.29739476078322397</v>
      </c>
    </row>
    <row r="169" spans="1:25" x14ac:dyDescent="0.25">
      <c r="A169" s="148">
        <f>Données!A169</f>
        <v>5684</v>
      </c>
      <c r="B169" s="156" t="str">
        <f>Données!B169</f>
        <v>Rossenges</v>
      </c>
      <c r="C169" s="318">
        <f>Données!C169</f>
        <v>90</v>
      </c>
      <c r="D169" s="319">
        <f>Données!D169</f>
        <v>65</v>
      </c>
      <c r="E169" s="320">
        <f>Données!E169</f>
        <v>0.8</v>
      </c>
      <c r="F169" s="321">
        <f>Données!F169</f>
        <v>122214.46999999997</v>
      </c>
      <c r="G169" s="321">
        <f>Données!G169</f>
        <v>145147.76999999999</v>
      </c>
      <c r="H169" s="321">
        <f>Données!H169</f>
        <v>1863.2</v>
      </c>
      <c r="I169" s="321">
        <f>Données!I169</f>
        <v>7.8</v>
      </c>
      <c r="J169" s="321">
        <f>Données!J169</f>
        <v>0</v>
      </c>
      <c r="K169" s="321">
        <f>Données!K169</f>
        <v>0</v>
      </c>
      <c r="L169" s="321">
        <f>Données!L169</f>
        <v>-24.06</v>
      </c>
      <c r="M169" s="321">
        <f>Données!M169</f>
        <v>0</v>
      </c>
      <c r="N169" s="321">
        <f>Données!N169</f>
        <v>184.7037017253825</v>
      </c>
      <c r="O169" s="321">
        <f>Données!O169</f>
        <v>10912.5</v>
      </c>
      <c r="P169" s="321">
        <f>Données!P169</f>
        <v>10299.94</v>
      </c>
      <c r="Q169" s="321">
        <f>Données!Q169</f>
        <v>0</v>
      </c>
      <c r="R169" s="321">
        <f>Données!R169</f>
        <v>0</v>
      </c>
      <c r="S169" s="313"/>
      <c r="T169" s="302">
        <f t="shared" si="12"/>
        <v>279688.37205914309</v>
      </c>
      <c r="U169" s="322">
        <f t="shared" si="13"/>
        <v>13640.625</v>
      </c>
      <c r="V169" s="322">
        <f t="shared" si="14"/>
        <v>10299.94</v>
      </c>
      <c r="W169" s="323">
        <f t="shared" si="15"/>
        <v>303628.93705914309</v>
      </c>
      <c r="X169" s="302">
        <f t="shared" si="16"/>
        <v>3373.6548562127009</v>
      </c>
      <c r="Y169" s="324">
        <f t="shared" si="17"/>
        <v>1.0099509184185385</v>
      </c>
    </row>
    <row r="170" spans="1:25" x14ac:dyDescent="0.25">
      <c r="A170" s="148">
        <f>Données!A170</f>
        <v>5688</v>
      </c>
      <c r="B170" s="156" t="str">
        <f>Données!B170</f>
        <v>Syens</v>
      </c>
      <c r="C170" s="318">
        <f>Données!C170</f>
        <v>151</v>
      </c>
      <c r="D170" s="319">
        <f>Données!D170</f>
        <v>65</v>
      </c>
      <c r="E170" s="320">
        <f>Données!E170</f>
        <v>1</v>
      </c>
      <c r="F170" s="321">
        <f>Données!F170</f>
        <v>260854.31</v>
      </c>
      <c r="G170" s="321">
        <f>Données!G170</f>
        <v>48257.36</v>
      </c>
      <c r="H170" s="321">
        <f>Données!H170</f>
        <v>-1972.6</v>
      </c>
      <c r="I170" s="321">
        <f>Données!I170</f>
        <v>489.95</v>
      </c>
      <c r="J170" s="321">
        <f>Données!J170</f>
        <v>0</v>
      </c>
      <c r="K170" s="321">
        <f>Données!K170</f>
        <v>0</v>
      </c>
      <c r="L170" s="321">
        <f>Données!L170</f>
        <v>-4834.29</v>
      </c>
      <c r="M170" s="321">
        <f>Données!M170</f>
        <v>0</v>
      </c>
      <c r="N170" s="321">
        <f>Données!N170</f>
        <v>-146.36608410643416</v>
      </c>
      <c r="O170" s="321">
        <f>Données!O170</f>
        <v>25641</v>
      </c>
      <c r="P170" s="321">
        <f>Données!P170</f>
        <v>6988.15</v>
      </c>
      <c r="Q170" s="321">
        <f>Données!Q170</f>
        <v>105</v>
      </c>
      <c r="R170" s="321">
        <f>Données!R170</f>
        <v>-34.25</v>
      </c>
      <c r="S170" s="313"/>
      <c r="T170" s="302">
        <f t="shared" si="12"/>
        <v>314213.6229927229</v>
      </c>
      <c r="U170" s="322">
        <f t="shared" si="13"/>
        <v>25641</v>
      </c>
      <c r="V170" s="322">
        <f t="shared" si="14"/>
        <v>7058.9</v>
      </c>
      <c r="W170" s="323">
        <f t="shared" si="15"/>
        <v>346913.52299272292</v>
      </c>
      <c r="X170" s="302">
        <f t="shared" si="16"/>
        <v>2297.4405496206814</v>
      </c>
      <c r="Y170" s="324">
        <f t="shared" si="17"/>
        <v>0.68777106491154039</v>
      </c>
    </row>
    <row r="171" spans="1:25" x14ac:dyDescent="0.25">
      <c r="A171" s="148">
        <f>Données!A171</f>
        <v>5690</v>
      </c>
      <c r="B171" s="156" t="str">
        <f>Données!B171</f>
        <v>Villars-le-Comte</v>
      </c>
      <c r="C171" s="318">
        <f>Données!C171</f>
        <v>132</v>
      </c>
      <c r="D171" s="319">
        <f>Données!D171</f>
        <v>68</v>
      </c>
      <c r="E171" s="320">
        <f>Données!E171</f>
        <v>1</v>
      </c>
      <c r="F171" s="321">
        <f>Données!F171</f>
        <v>214596.89</v>
      </c>
      <c r="G171" s="321">
        <f>Données!G171</f>
        <v>41126.6</v>
      </c>
      <c r="H171" s="321">
        <f>Données!H171</f>
        <v>950.45</v>
      </c>
      <c r="I171" s="321">
        <f>Données!I171</f>
        <v>214.4</v>
      </c>
      <c r="J171" s="321">
        <f>Données!J171</f>
        <v>0</v>
      </c>
      <c r="K171" s="321">
        <f>Données!K171</f>
        <v>0</v>
      </c>
      <c r="L171" s="321">
        <f>Données!L171</f>
        <v>-33.69</v>
      </c>
      <c r="M171" s="321">
        <f>Données!M171</f>
        <v>0</v>
      </c>
      <c r="N171" s="321">
        <f>Données!N171</f>
        <v>114.993109008451</v>
      </c>
      <c r="O171" s="321">
        <f>Données!O171</f>
        <v>23301.3</v>
      </c>
      <c r="P171" s="321">
        <f>Données!P171</f>
        <v>6972.1</v>
      </c>
      <c r="Q171" s="321">
        <f>Données!Q171</f>
        <v>184.1</v>
      </c>
      <c r="R171" s="321">
        <f>Données!R171</f>
        <v>0</v>
      </c>
      <c r="S171" s="313"/>
      <c r="T171" s="302">
        <f t="shared" si="12"/>
        <v>255019.23879586437</v>
      </c>
      <c r="U171" s="322">
        <f t="shared" si="13"/>
        <v>23301.3</v>
      </c>
      <c r="V171" s="322">
        <f t="shared" si="14"/>
        <v>7156.2000000000007</v>
      </c>
      <c r="W171" s="323">
        <f t="shared" si="15"/>
        <v>285476.7387958644</v>
      </c>
      <c r="X171" s="302">
        <f t="shared" si="16"/>
        <v>2162.7025666353366</v>
      </c>
      <c r="Y171" s="324">
        <f t="shared" si="17"/>
        <v>0.64743535913792905</v>
      </c>
    </row>
    <row r="172" spans="1:25" x14ac:dyDescent="0.25">
      <c r="A172" s="148">
        <f>Données!A172</f>
        <v>5692</v>
      </c>
      <c r="B172" s="156" t="str">
        <f>Données!B172</f>
        <v>Vucherens</v>
      </c>
      <c r="C172" s="318">
        <f>Données!C172</f>
        <v>622</v>
      </c>
      <c r="D172" s="319">
        <f>Données!D172</f>
        <v>75</v>
      </c>
      <c r="E172" s="320">
        <f>Données!E172</f>
        <v>1</v>
      </c>
      <c r="F172" s="321">
        <f>Données!F172</f>
        <v>1189146.47</v>
      </c>
      <c r="G172" s="321">
        <f>Données!G172</f>
        <v>125290.47</v>
      </c>
      <c r="H172" s="321">
        <f>Données!H172</f>
        <v>8411.5</v>
      </c>
      <c r="I172" s="321">
        <f>Données!I172</f>
        <v>5476.1</v>
      </c>
      <c r="J172" s="321">
        <f>Données!J172</f>
        <v>0</v>
      </c>
      <c r="K172" s="321">
        <f>Données!K172</f>
        <v>6993.47</v>
      </c>
      <c r="L172" s="321">
        <f>Données!L172</f>
        <v>-8063.58</v>
      </c>
      <c r="M172" s="321">
        <f>Données!M172</f>
        <v>-1750</v>
      </c>
      <c r="N172" s="321">
        <f>Données!N172</f>
        <v>1370.9733447789536</v>
      </c>
      <c r="O172" s="321">
        <f>Données!O172</f>
        <v>116833</v>
      </c>
      <c r="P172" s="321">
        <f>Données!P172</f>
        <v>13874.41</v>
      </c>
      <c r="Q172" s="321">
        <f>Données!Q172</f>
        <v>4766.5</v>
      </c>
      <c r="R172" s="321">
        <f>Données!R172</f>
        <v>0</v>
      </c>
      <c r="S172" s="313"/>
      <c r="T172" s="302">
        <f t="shared" si="12"/>
        <v>1193902.6511505912</v>
      </c>
      <c r="U172" s="322">
        <f t="shared" si="13"/>
        <v>116833</v>
      </c>
      <c r="V172" s="322">
        <f t="shared" si="14"/>
        <v>18640.91</v>
      </c>
      <c r="W172" s="323">
        <f t="shared" si="15"/>
        <v>1329376.5611505911</v>
      </c>
      <c r="X172" s="302">
        <f t="shared" si="16"/>
        <v>2137.2613523321402</v>
      </c>
      <c r="Y172" s="324">
        <f t="shared" si="17"/>
        <v>0.63981917465957949</v>
      </c>
    </row>
    <row r="173" spans="1:25" x14ac:dyDescent="0.25">
      <c r="A173" s="148">
        <f>Données!A173</f>
        <v>5693</v>
      </c>
      <c r="B173" s="156" t="str">
        <f>Données!B173</f>
        <v>Montanaire</v>
      </c>
      <c r="C173" s="318">
        <f>Données!C173</f>
        <v>2861</v>
      </c>
      <c r="D173" s="319">
        <f>Données!D173</f>
        <v>70</v>
      </c>
      <c r="E173" s="320">
        <f>Données!E173</f>
        <v>1</v>
      </c>
      <c r="F173" s="321">
        <f>Données!F173</f>
        <v>4294076.6100000003</v>
      </c>
      <c r="G173" s="321">
        <f>Données!G173</f>
        <v>576424.84</v>
      </c>
      <c r="H173" s="321">
        <f>Données!H173</f>
        <v>92074.45</v>
      </c>
      <c r="I173" s="321">
        <f>Données!I173</f>
        <v>5624.4</v>
      </c>
      <c r="J173" s="321">
        <f>Données!J173</f>
        <v>0</v>
      </c>
      <c r="K173" s="321">
        <f>Données!K173</f>
        <v>4958.42</v>
      </c>
      <c r="L173" s="321">
        <f>Données!L173</f>
        <v>-130106.78</v>
      </c>
      <c r="M173" s="321">
        <f>Données!M173</f>
        <v>-250</v>
      </c>
      <c r="N173" s="321">
        <f>Données!N173</f>
        <v>9644.7564133152773</v>
      </c>
      <c r="O173" s="321">
        <f>Données!O173</f>
        <v>462741.05</v>
      </c>
      <c r="P173" s="321">
        <f>Données!P173</f>
        <v>76162.559999999998</v>
      </c>
      <c r="Q173" s="321">
        <f>Données!Q173</f>
        <v>13973.8</v>
      </c>
      <c r="R173" s="321">
        <f>Données!R173</f>
        <v>-337.6</v>
      </c>
      <c r="S173" s="313"/>
      <c r="T173" s="302">
        <f t="shared" si="12"/>
        <v>4678027.4929122021</v>
      </c>
      <c r="U173" s="322">
        <f t="shared" si="13"/>
        <v>462741.05</v>
      </c>
      <c r="V173" s="322">
        <f t="shared" si="14"/>
        <v>89798.76</v>
      </c>
      <c r="W173" s="323">
        <f t="shared" si="15"/>
        <v>5230567.3029122017</v>
      </c>
      <c r="X173" s="302">
        <f t="shared" si="16"/>
        <v>1828.2304449186304</v>
      </c>
      <c r="Y173" s="324">
        <f t="shared" si="17"/>
        <v>0.54730643637894749</v>
      </c>
    </row>
    <row r="174" spans="1:25" x14ac:dyDescent="0.25">
      <c r="A174" s="148">
        <f>Données!A174</f>
        <v>5701</v>
      </c>
      <c r="B174" s="156" t="str">
        <f>Données!B174</f>
        <v>Arnex-sur-Nyon</v>
      </c>
      <c r="C174" s="318">
        <f>Données!C174</f>
        <v>267</v>
      </c>
      <c r="D174" s="319">
        <f>Données!D174</f>
        <v>68</v>
      </c>
      <c r="E174" s="320">
        <f>Données!E174</f>
        <v>1</v>
      </c>
      <c r="F174" s="321">
        <f>Données!F174</f>
        <v>707224.71</v>
      </c>
      <c r="G174" s="321">
        <f>Données!G174</f>
        <v>134792.84</v>
      </c>
      <c r="H174" s="321">
        <f>Données!H174</f>
        <v>6186.5</v>
      </c>
      <c r="I174" s="321">
        <f>Données!I174</f>
        <v>428.75</v>
      </c>
      <c r="J174" s="321">
        <f>Données!J174</f>
        <v>142035.84999999998</v>
      </c>
      <c r="K174" s="321">
        <f>Données!K174</f>
        <v>0</v>
      </c>
      <c r="L174" s="321">
        <f>Données!L174</f>
        <v>-11.77</v>
      </c>
      <c r="M174" s="321">
        <f>Données!M174</f>
        <v>0</v>
      </c>
      <c r="N174" s="321">
        <f>Données!N174</f>
        <v>653.05246544031888</v>
      </c>
      <c r="O174" s="321">
        <f>Données!O174</f>
        <v>83354.600000000006</v>
      </c>
      <c r="P174" s="321">
        <f>Données!P174</f>
        <v>26005.42</v>
      </c>
      <c r="Q174" s="321">
        <f>Données!Q174</f>
        <v>3411.75</v>
      </c>
      <c r="R174" s="321">
        <f>Données!R174</f>
        <v>-2165.15</v>
      </c>
      <c r="S174" s="313"/>
      <c r="T174" s="302">
        <f t="shared" si="12"/>
        <v>983785.87186220777</v>
      </c>
      <c r="U174" s="322">
        <f t="shared" si="13"/>
        <v>83354.600000000006</v>
      </c>
      <c r="V174" s="322">
        <f t="shared" si="14"/>
        <v>27252.019999999997</v>
      </c>
      <c r="W174" s="323">
        <f t="shared" si="15"/>
        <v>1094392.4918622079</v>
      </c>
      <c r="X174" s="302">
        <f t="shared" si="16"/>
        <v>4098.8482841281193</v>
      </c>
      <c r="Y174" s="324">
        <f t="shared" si="17"/>
        <v>1.22704774656784</v>
      </c>
    </row>
    <row r="175" spans="1:25" x14ac:dyDescent="0.25">
      <c r="A175" s="148">
        <f>Données!A175</f>
        <v>5702</v>
      </c>
      <c r="B175" s="156" t="str">
        <f>Données!B175</f>
        <v>Arzier-Le Muids</v>
      </c>
      <c r="C175" s="318">
        <f>Données!C175</f>
        <v>2968</v>
      </c>
      <c r="D175" s="319">
        <f>Données!D175</f>
        <v>64</v>
      </c>
      <c r="E175" s="320">
        <f>Données!E175</f>
        <v>1.5</v>
      </c>
      <c r="F175" s="321">
        <f>Données!F175</f>
        <v>8988086.3499999996</v>
      </c>
      <c r="G175" s="321">
        <f>Données!G175</f>
        <v>1750367.54</v>
      </c>
      <c r="H175" s="321">
        <f>Données!H175</f>
        <v>52246.65</v>
      </c>
      <c r="I175" s="321">
        <f>Données!I175</f>
        <v>21793.15</v>
      </c>
      <c r="J175" s="321">
        <f>Données!J175</f>
        <v>435712.35</v>
      </c>
      <c r="K175" s="321">
        <f>Données!K175</f>
        <v>26656.29</v>
      </c>
      <c r="L175" s="321">
        <f>Données!L175</f>
        <v>-58357.94</v>
      </c>
      <c r="M175" s="321">
        <f>Données!M175</f>
        <v>-1000</v>
      </c>
      <c r="N175" s="321">
        <f>Données!N175</f>
        <v>7309.1529315911148</v>
      </c>
      <c r="O175" s="321">
        <f>Données!O175</f>
        <v>1367412.25</v>
      </c>
      <c r="P175" s="321">
        <f>Données!P175</f>
        <v>-19918.169999999998</v>
      </c>
      <c r="Q175" s="321">
        <f>Données!Q175</f>
        <v>21049.55</v>
      </c>
      <c r="R175" s="321">
        <f>Données!R175</f>
        <v>-32126.2</v>
      </c>
      <c r="S175" s="313"/>
      <c r="T175" s="302">
        <f t="shared" si="12"/>
        <v>11833734.193285627</v>
      </c>
      <c r="U175" s="322">
        <f t="shared" si="13"/>
        <v>911608.16666666663</v>
      </c>
      <c r="V175" s="322">
        <f t="shared" si="14"/>
        <v>-30994.82</v>
      </c>
      <c r="W175" s="323">
        <f t="shared" si="15"/>
        <v>12714347.539952293</v>
      </c>
      <c r="X175" s="302">
        <f t="shared" si="16"/>
        <v>4283.8098180432253</v>
      </c>
      <c r="Y175" s="324">
        <f t="shared" si="17"/>
        <v>1.2824185770206529</v>
      </c>
    </row>
    <row r="176" spans="1:25" x14ac:dyDescent="0.25">
      <c r="A176" s="148">
        <f>Données!A176</f>
        <v>5703</v>
      </c>
      <c r="B176" s="156" t="str">
        <f>Données!B176</f>
        <v>Bassins</v>
      </c>
      <c r="C176" s="318">
        <f>Données!C176</f>
        <v>1484</v>
      </c>
      <c r="D176" s="319">
        <f>Données!D176</f>
        <v>72.5</v>
      </c>
      <c r="E176" s="320">
        <f>Données!E176</f>
        <v>1.4</v>
      </c>
      <c r="F176" s="321">
        <f>Données!F176</f>
        <v>4247626.71</v>
      </c>
      <c r="G176" s="321">
        <f>Données!G176</f>
        <v>548427.98</v>
      </c>
      <c r="H176" s="321">
        <f>Données!H176</f>
        <v>27643.5</v>
      </c>
      <c r="I176" s="321">
        <f>Données!I176</f>
        <v>2188.3000000000002</v>
      </c>
      <c r="J176" s="321">
        <f>Données!J176</f>
        <v>0</v>
      </c>
      <c r="K176" s="321">
        <f>Données!K176</f>
        <v>0</v>
      </c>
      <c r="L176" s="321">
        <f>Données!L176</f>
        <v>-34058.879999999997</v>
      </c>
      <c r="M176" s="321">
        <f>Données!M176</f>
        <v>0</v>
      </c>
      <c r="N176" s="321">
        <f>Données!N176</f>
        <v>2944.9726825928728</v>
      </c>
      <c r="O176" s="321">
        <f>Données!O176</f>
        <v>503011.85</v>
      </c>
      <c r="P176" s="321">
        <f>Données!P176</f>
        <v>-89564.75</v>
      </c>
      <c r="Q176" s="321">
        <f>Données!Q176</f>
        <v>4291.75</v>
      </c>
      <c r="R176" s="321">
        <f>Données!R176</f>
        <v>-2108.19</v>
      </c>
      <c r="S176" s="313"/>
      <c r="T176" s="302">
        <f t="shared" si="12"/>
        <v>4463032.4359421991</v>
      </c>
      <c r="U176" s="322">
        <f t="shared" si="13"/>
        <v>359294.17857142858</v>
      </c>
      <c r="V176" s="322">
        <f t="shared" si="14"/>
        <v>-87381.19</v>
      </c>
      <c r="W176" s="323">
        <f t="shared" si="15"/>
        <v>4734945.4245136268</v>
      </c>
      <c r="X176" s="302">
        <f t="shared" si="16"/>
        <v>3190.6640326911233</v>
      </c>
      <c r="Y176" s="324">
        <f t="shared" si="17"/>
        <v>0.95517004777391845</v>
      </c>
    </row>
    <row r="177" spans="1:25" x14ac:dyDescent="0.25">
      <c r="A177" s="148">
        <f>Données!A177</f>
        <v>5704</v>
      </c>
      <c r="B177" s="156" t="str">
        <f>Données!B177</f>
        <v>Begnins</v>
      </c>
      <c r="C177" s="318">
        <f>Données!C177</f>
        <v>2041</v>
      </c>
      <c r="D177" s="319">
        <f>Données!D177</f>
        <v>62.5</v>
      </c>
      <c r="E177" s="320">
        <f>Données!E177</f>
        <v>1.5</v>
      </c>
      <c r="F177" s="321">
        <f>Données!F177</f>
        <v>6804515.7199999997</v>
      </c>
      <c r="G177" s="321">
        <f>Données!G177</f>
        <v>1660000.8</v>
      </c>
      <c r="H177" s="321">
        <f>Données!H177</f>
        <v>94599</v>
      </c>
      <c r="I177" s="321">
        <f>Données!I177</f>
        <v>3818.55</v>
      </c>
      <c r="J177" s="321">
        <f>Données!J177</f>
        <v>322864.90000000002</v>
      </c>
      <c r="K177" s="321">
        <f>Données!K177</f>
        <v>8290.31</v>
      </c>
      <c r="L177" s="321">
        <f>Données!L177</f>
        <v>-13825.91</v>
      </c>
      <c r="M177" s="321">
        <f>Données!M177</f>
        <v>-2300</v>
      </c>
      <c r="N177" s="321">
        <f>Données!N177</f>
        <v>9715.7059325189293</v>
      </c>
      <c r="O177" s="321">
        <f>Données!O177</f>
        <v>880315.3</v>
      </c>
      <c r="P177" s="321">
        <f>Données!P177</f>
        <v>116899.97</v>
      </c>
      <c r="Q177" s="321">
        <f>Données!Q177</f>
        <v>22991.55</v>
      </c>
      <c r="R177" s="321">
        <f>Données!R177</f>
        <v>-133859.53</v>
      </c>
      <c r="S177" s="313"/>
      <c r="T177" s="302">
        <f t="shared" si="12"/>
        <v>9596400.9141325019</v>
      </c>
      <c r="U177" s="322">
        <f t="shared" si="13"/>
        <v>586876.8666666667</v>
      </c>
      <c r="V177" s="322">
        <f t="shared" si="14"/>
        <v>6031.9899999999907</v>
      </c>
      <c r="W177" s="323">
        <f t="shared" si="15"/>
        <v>10189309.770799169</v>
      </c>
      <c r="X177" s="302">
        <f t="shared" si="16"/>
        <v>4992.3124795684316</v>
      </c>
      <c r="Y177" s="324">
        <f t="shared" si="17"/>
        <v>1.4945187900556782</v>
      </c>
    </row>
    <row r="178" spans="1:25" x14ac:dyDescent="0.25">
      <c r="A178" s="148">
        <f>Données!A178</f>
        <v>5705</v>
      </c>
      <c r="B178" s="156" t="str">
        <f>Données!B178</f>
        <v>Bogis-Bossey</v>
      </c>
      <c r="C178" s="318">
        <f>Données!C178</f>
        <v>990</v>
      </c>
      <c r="D178" s="319">
        <f>Données!D178</f>
        <v>71</v>
      </c>
      <c r="E178" s="320">
        <f>Données!E178</f>
        <v>1</v>
      </c>
      <c r="F178" s="321">
        <f>Données!F178</f>
        <v>3585931.12</v>
      </c>
      <c r="G178" s="321">
        <f>Données!G178</f>
        <v>419709.51</v>
      </c>
      <c r="H178" s="321">
        <f>Données!H178</f>
        <v>63773.1</v>
      </c>
      <c r="I178" s="321">
        <f>Données!I178</f>
        <v>7878.25</v>
      </c>
      <c r="J178" s="321">
        <f>Données!J178</f>
        <v>0</v>
      </c>
      <c r="K178" s="321">
        <f>Données!K178</f>
        <v>2983.89</v>
      </c>
      <c r="L178" s="321">
        <f>Données!L178</f>
        <v>-36575.89</v>
      </c>
      <c r="M178" s="321">
        <f>Données!M178</f>
        <v>-13700</v>
      </c>
      <c r="N178" s="321">
        <f>Données!N178</f>
        <v>7073.3669581084905</v>
      </c>
      <c r="O178" s="321">
        <f>Données!O178</f>
        <v>253195.9</v>
      </c>
      <c r="P178" s="321">
        <f>Données!P178</f>
        <v>-27121.08</v>
      </c>
      <c r="Q178" s="321">
        <f>Données!Q178</f>
        <v>5685.75</v>
      </c>
      <c r="R178" s="321">
        <f>Données!R178</f>
        <v>-7443.9</v>
      </c>
      <c r="S178" s="313"/>
      <c r="T178" s="302">
        <f t="shared" si="12"/>
        <v>3837146.0317303916</v>
      </c>
      <c r="U178" s="322">
        <f t="shared" si="13"/>
        <v>253195.9</v>
      </c>
      <c r="V178" s="322">
        <f t="shared" si="14"/>
        <v>-28879.230000000003</v>
      </c>
      <c r="W178" s="323">
        <f t="shared" si="15"/>
        <v>4061462.7017303915</v>
      </c>
      <c r="X178" s="302">
        <f t="shared" si="16"/>
        <v>4102.4875775054461</v>
      </c>
      <c r="Y178" s="324">
        <f t="shared" si="17"/>
        <v>1.2281372201048431</v>
      </c>
    </row>
    <row r="179" spans="1:25" x14ac:dyDescent="0.25">
      <c r="A179" s="148">
        <f>Données!A179</f>
        <v>5706</v>
      </c>
      <c r="B179" s="156" t="str">
        <f>Données!B179</f>
        <v>Borex</v>
      </c>
      <c r="C179" s="318">
        <f>Données!C179</f>
        <v>1144</v>
      </c>
      <c r="D179" s="319">
        <f>Données!D179</f>
        <v>57</v>
      </c>
      <c r="E179" s="320">
        <f>Données!E179</f>
        <v>1.5</v>
      </c>
      <c r="F179" s="321">
        <f>Données!F179</f>
        <v>3033579.59</v>
      </c>
      <c r="G179" s="321">
        <f>Données!G179</f>
        <v>570776.16</v>
      </c>
      <c r="H179" s="321">
        <f>Données!H179</f>
        <v>16576.099999999999</v>
      </c>
      <c r="I179" s="321">
        <f>Données!I179</f>
        <v>518.9</v>
      </c>
      <c r="J179" s="321">
        <f>Données!J179</f>
        <v>48123.1</v>
      </c>
      <c r="K179" s="321">
        <f>Données!K179</f>
        <v>150.63</v>
      </c>
      <c r="L179" s="321">
        <f>Données!L179</f>
        <v>-26471.85</v>
      </c>
      <c r="M179" s="321">
        <f>Données!M179</f>
        <v>-54000</v>
      </c>
      <c r="N179" s="321">
        <f>Données!N179</f>
        <v>1687.6054414726957</v>
      </c>
      <c r="O179" s="321">
        <f>Données!O179</f>
        <v>454607.1</v>
      </c>
      <c r="P179" s="321">
        <f>Données!P179</f>
        <v>24601.72</v>
      </c>
      <c r="Q179" s="321">
        <f>Données!Q179</f>
        <v>10749.05</v>
      </c>
      <c r="R179" s="321">
        <f>Données!R179</f>
        <v>-40928.550000000003</v>
      </c>
      <c r="S179" s="313"/>
      <c r="T179" s="302">
        <f t="shared" si="12"/>
        <v>4251413.6043631779</v>
      </c>
      <c r="U179" s="322">
        <f t="shared" si="13"/>
        <v>303071.39999999997</v>
      </c>
      <c r="V179" s="322">
        <f t="shared" si="14"/>
        <v>-5577.7799999999988</v>
      </c>
      <c r="W179" s="323">
        <f t="shared" si="15"/>
        <v>4548907.224363178</v>
      </c>
      <c r="X179" s="302">
        <f t="shared" si="16"/>
        <v>3976.3175038139666</v>
      </c>
      <c r="Y179" s="324">
        <f t="shared" si="17"/>
        <v>1.1903664381983934</v>
      </c>
    </row>
    <row r="180" spans="1:25" x14ac:dyDescent="0.25">
      <c r="A180" s="148">
        <f>Données!A180</f>
        <v>5707</v>
      </c>
      <c r="B180" s="156" t="str">
        <f>Données!B180</f>
        <v>Chavannes-de-Bogis</v>
      </c>
      <c r="C180" s="318">
        <f>Données!C180</f>
        <v>1388</v>
      </c>
      <c r="D180" s="319">
        <f>Données!D180</f>
        <v>58</v>
      </c>
      <c r="E180" s="320">
        <f>Données!E180</f>
        <v>1.5</v>
      </c>
      <c r="F180" s="321">
        <f>Données!F180</f>
        <v>3787246.79</v>
      </c>
      <c r="G180" s="321">
        <f>Données!G180</f>
        <v>602809.36</v>
      </c>
      <c r="H180" s="321">
        <f>Données!H180</f>
        <v>676891</v>
      </c>
      <c r="I180" s="321">
        <f>Données!I180</f>
        <v>19334.400000000001</v>
      </c>
      <c r="J180" s="321">
        <f>Données!J180</f>
        <v>34191</v>
      </c>
      <c r="K180" s="321">
        <f>Données!K180</f>
        <v>2859.79</v>
      </c>
      <c r="L180" s="321">
        <f>Données!L180</f>
        <v>-8933.8700000000008</v>
      </c>
      <c r="M180" s="321">
        <f>Données!M180</f>
        <v>-2316.66</v>
      </c>
      <c r="N180" s="321">
        <f>Données!N180</f>
        <v>68730.843728078631</v>
      </c>
      <c r="O180" s="321">
        <f>Données!O180</f>
        <v>785673.8</v>
      </c>
      <c r="P180" s="321">
        <f>Données!P180</f>
        <v>50425.27</v>
      </c>
      <c r="Q180" s="321">
        <f>Données!Q180</f>
        <v>68910.05</v>
      </c>
      <c r="R180" s="321">
        <f>Données!R180</f>
        <v>-6138.9</v>
      </c>
      <c r="S180" s="313"/>
      <c r="T180" s="302">
        <f t="shared" si="12"/>
        <v>6027954.0164321419</v>
      </c>
      <c r="U180" s="322">
        <f t="shared" si="13"/>
        <v>523782.53333333338</v>
      </c>
      <c r="V180" s="322">
        <f t="shared" si="14"/>
        <v>113196.42000000001</v>
      </c>
      <c r="W180" s="323">
        <f t="shared" si="15"/>
        <v>6664932.969765475</v>
      </c>
      <c r="X180" s="302">
        <f t="shared" si="16"/>
        <v>4801.8249061710912</v>
      </c>
      <c r="Y180" s="324">
        <f t="shared" si="17"/>
        <v>1.4374936621456067</v>
      </c>
    </row>
    <row r="181" spans="1:25" x14ac:dyDescent="0.25">
      <c r="A181" s="148">
        <f>Données!A181</f>
        <v>5708</v>
      </c>
      <c r="B181" s="156" t="str">
        <f>Données!B181</f>
        <v>Chavannes-des-Bois</v>
      </c>
      <c r="C181" s="318">
        <f>Données!C181</f>
        <v>982</v>
      </c>
      <c r="D181" s="319">
        <f>Données!D181</f>
        <v>68</v>
      </c>
      <c r="E181" s="320">
        <f>Données!E181</f>
        <v>1.5</v>
      </c>
      <c r="F181" s="321">
        <f>Données!F181</f>
        <v>3764104.69</v>
      </c>
      <c r="G181" s="321">
        <f>Données!G181</f>
        <v>723937.1</v>
      </c>
      <c r="H181" s="321">
        <f>Données!H181</f>
        <v>20330.099999999999</v>
      </c>
      <c r="I181" s="321">
        <f>Données!I181</f>
        <v>995.15</v>
      </c>
      <c r="J181" s="321">
        <f>Données!J181</f>
        <v>0</v>
      </c>
      <c r="K181" s="321">
        <f>Données!K181</f>
        <v>99.67</v>
      </c>
      <c r="L181" s="321">
        <f>Données!L181</f>
        <v>-5027.4399999999996</v>
      </c>
      <c r="M181" s="321">
        <f>Données!M181</f>
        <v>0</v>
      </c>
      <c r="N181" s="321">
        <f>Données!N181</f>
        <v>2105.2125148151858</v>
      </c>
      <c r="O181" s="321">
        <f>Données!O181</f>
        <v>461120.55</v>
      </c>
      <c r="P181" s="321">
        <f>Données!P181</f>
        <v>-19663.560000000001</v>
      </c>
      <c r="Q181" s="321">
        <f>Données!Q181</f>
        <v>13731.8</v>
      </c>
      <c r="R181" s="321">
        <f>Données!R181</f>
        <v>-22351.4</v>
      </c>
      <c r="S181" s="313"/>
      <c r="T181" s="302">
        <f t="shared" si="12"/>
        <v>4472339.7270825002</v>
      </c>
      <c r="U181" s="322">
        <f t="shared" si="13"/>
        <v>307413.7</v>
      </c>
      <c r="V181" s="322">
        <f t="shared" si="14"/>
        <v>-28283.160000000003</v>
      </c>
      <c r="W181" s="323">
        <f t="shared" si="15"/>
        <v>4751470.2670825003</v>
      </c>
      <c r="X181" s="302">
        <f t="shared" si="16"/>
        <v>4838.5644267642565</v>
      </c>
      <c r="Y181" s="324">
        <f t="shared" si="17"/>
        <v>1.4484921531432835</v>
      </c>
    </row>
    <row r="182" spans="1:25" x14ac:dyDescent="0.25">
      <c r="A182" s="148">
        <f>Données!A182</f>
        <v>5709</v>
      </c>
      <c r="B182" s="156" t="str">
        <f>Données!B182</f>
        <v>Chéserex</v>
      </c>
      <c r="C182" s="318">
        <f>Données!C182</f>
        <v>1277</v>
      </c>
      <c r="D182" s="319">
        <f>Données!D182</f>
        <v>59</v>
      </c>
      <c r="E182" s="320">
        <f>Données!E182</f>
        <v>1</v>
      </c>
      <c r="F182" s="321">
        <f>Données!F182</f>
        <v>4473166.74</v>
      </c>
      <c r="G182" s="321">
        <f>Données!G182</f>
        <v>862783.89</v>
      </c>
      <c r="H182" s="321">
        <f>Données!H182</f>
        <v>55599</v>
      </c>
      <c r="I182" s="321">
        <f>Données!I182</f>
        <v>14048.6</v>
      </c>
      <c r="J182" s="321">
        <f>Données!J182</f>
        <v>663903.44999999995</v>
      </c>
      <c r="K182" s="321">
        <f>Données!K182</f>
        <v>59.51</v>
      </c>
      <c r="L182" s="321">
        <f>Données!L182</f>
        <v>-9059.2099999999991</v>
      </c>
      <c r="M182" s="321">
        <f>Données!M182</f>
        <v>2250</v>
      </c>
      <c r="N182" s="321">
        <f>Données!N182</f>
        <v>6875.5582770116253</v>
      </c>
      <c r="O182" s="321">
        <f>Données!O182</f>
        <v>424788.2</v>
      </c>
      <c r="P182" s="321">
        <f>Données!P182</f>
        <v>54700.59</v>
      </c>
      <c r="Q182" s="321">
        <f>Données!Q182</f>
        <v>12548.85</v>
      </c>
      <c r="R182" s="321">
        <f>Données!R182</f>
        <v>-16178.96</v>
      </c>
      <c r="S182" s="313"/>
      <c r="T182" s="302">
        <f t="shared" si="12"/>
        <v>6942406.9297215864</v>
      </c>
      <c r="U182" s="322">
        <f t="shared" si="13"/>
        <v>424788.2</v>
      </c>
      <c r="V182" s="322">
        <f t="shared" si="14"/>
        <v>51070.48</v>
      </c>
      <c r="W182" s="323">
        <f t="shared" si="15"/>
        <v>7418265.609721587</v>
      </c>
      <c r="X182" s="302">
        <f t="shared" si="16"/>
        <v>5809.1351681453307</v>
      </c>
      <c r="Y182" s="324">
        <f t="shared" si="17"/>
        <v>1.7390461230738035</v>
      </c>
    </row>
    <row r="183" spans="1:25" x14ac:dyDescent="0.25">
      <c r="A183" s="148">
        <f>Données!A183</f>
        <v>5710</v>
      </c>
      <c r="B183" s="156" t="str">
        <f>Données!B183</f>
        <v>Coinsins</v>
      </c>
      <c r="C183" s="318">
        <f>Données!C183</f>
        <v>517</v>
      </c>
      <c r="D183" s="319">
        <f>Données!D183</f>
        <v>49</v>
      </c>
      <c r="E183" s="320">
        <f>Données!E183</f>
        <v>1</v>
      </c>
      <c r="F183" s="321">
        <f>Données!F183</f>
        <v>1038869.82</v>
      </c>
      <c r="G183" s="321">
        <f>Données!G183</f>
        <v>192024.63</v>
      </c>
      <c r="H183" s="321">
        <f>Données!H183</f>
        <v>-8441.2999999999993</v>
      </c>
      <c r="I183" s="321">
        <f>Données!I183</f>
        <v>1928.95</v>
      </c>
      <c r="J183" s="321">
        <f>Données!J183</f>
        <v>-110710.39999999999</v>
      </c>
      <c r="K183" s="321">
        <f>Données!K183</f>
        <v>1139.17</v>
      </c>
      <c r="L183" s="321">
        <f>Données!L183</f>
        <v>-4287.26</v>
      </c>
      <c r="M183" s="321">
        <f>Données!M183</f>
        <v>0</v>
      </c>
      <c r="N183" s="321">
        <f>Données!N183</f>
        <v>-642.89425544163259</v>
      </c>
      <c r="O183" s="321">
        <f>Données!O183</f>
        <v>132917.29999999999</v>
      </c>
      <c r="P183" s="321">
        <f>Données!P183</f>
        <v>24594.880000000001</v>
      </c>
      <c r="Q183" s="321">
        <f>Données!Q183</f>
        <v>3874.8</v>
      </c>
      <c r="R183" s="321">
        <f>Données!R183</f>
        <v>-11766.8</v>
      </c>
      <c r="S183" s="313"/>
      <c r="T183" s="302">
        <f t="shared" si="12"/>
        <v>1528552.156097671</v>
      </c>
      <c r="U183" s="322">
        <f t="shared" si="13"/>
        <v>132917.29999999999</v>
      </c>
      <c r="V183" s="322">
        <f t="shared" si="14"/>
        <v>16702.88</v>
      </c>
      <c r="W183" s="323">
        <f t="shared" si="15"/>
        <v>1678172.336097671</v>
      </c>
      <c r="X183" s="302">
        <f t="shared" si="16"/>
        <v>3245.9813077324388</v>
      </c>
      <c r="Y183" s="324">
        <f t="shared" si="17"/>
        <v>0.97173005023816139</v>
      </c>
    </row>
    <row r="184" spans="1:25" x14ac:dyDescent="0.25">
      <c r="A184" s="148">
        <f>Données!A184</f>
        <v>5711</v>
      </c>
      <c r="B184" s="156" t="str">
        <f>Données!B184</f>
        <v>Commugny</v>
      </c>
      <c r="C184" s="318">
        <f>Données!C184</f>
        <v>2987</v>
      </c>
      <c r="D184" s="319">
        <f>Données!D184</f>
        <v>57</v>
      </c>
      <c r="E184" s="320">
        <f>Données!E184</f>
        <v>1.3</v>
      </c>
      <c r="F184" s="321">
        <f>Données!F184</f>
        <v>13230486.630000001</v>
      </c>
      <c r="G184" s="321">
        <f>Données!G184</f>
        <v>2278726.84</v>
      </c>
      <c r="H184" s="321">
        <f>Données!H184</f>
        <v>53257.15</v>
      </c>
      <c r="I184" s="321">
        <f>Données!I184</f>
        <v>13615</v>
      </c>
      <c r="J184" s="321">
        <f>Données!J184</f>
        <v>219099.95</v>
      </c>
      <c r="K184" s="321">
        <f>Données!K184</f>
        <v>43782.75</v>
      </c>
      <c r="L184" s="321">
        <f>Données!L184</f>
        <v>-53761.69</v>
      </c>
      <c r="M184" s="321">
        <f>Données!M184</f>
        <v>-17500</v>
      </c>
      <c r="N184" s="321">
        <f>Données!N184</f>
        <v>6601.5679568867108</v>
      </c>
      <c r="O184" s="321">
        <f>Données!O184</f>
        <v>1350309.75</v>
      </c>
      <c r="P184" s="321">
        <f>Données!P184</f>
        <v>44589.07</v>
      </c>
      <c r="Q184" s="321">
        <f>Données!Q184</f>
        <v>1017.35</v>
      </c>
      <c r="R184" s="321">
        <f>Données!R184</f>
        <v>-76106.69</v>
      </c>
      <c r="S184" s="313"/>
      <c r="T184" s="302">
        <f t="shared" si="12"/>
        <v>18675640.382515792</v>
      </c>
      <c r="U184" s="322">
        <f t="shared" si="13"/>
        <v>1038699.8076923076</v>
      </c>
      <c r="V184" s="322">
        <f t="shared" si="14"/>
        <v>-30500.270000000004</v>
      </c>
      <c r="W184" s="323">
        <f t="shared" si="15"/>
        <v>19683839.9202081</v>
      </c>
      <c r="X184" s="302">
        <f t="shared" si="16"/>
        <v>6589.8359290954468</v>
      </c>
      <c r="Y184" s="324">
        <f t="shared" si="17"/>
        <v>1.9727598502144528</v>
      </c>
    </row>
    <row r="185" spans="1:25" x14ac:dyDescent="0.25">
      <c r="A185" s="148">
        <f>Données!A185</f>
        <v>5712</v>
      </c>
      <c r="B185" s="156" t="str">
        <f>Données!B185</f>
        <v>Coppet</v>
      </c>
      <c r="C185" s="318">
        <f>Données!C185</f>
        <v>3216</v>
      </c>
      <c r="D185" s="319">
        <f>Données!D185</f>
        <v>57</v>
      </c>
      <c r="E185" s="320">
        <f>Données!E185</f>
        <v>1.5</v>
      </c>
      <c r="F185" s="321">
        <f>Données!F185</f>
        <v>14755225.530000001</v>
      </c>
      <c r="G185" s="321">
        <f>Données!G185</f>
        <v>6512301.46</v>
      </c>
      <c r="H185" s="321">
        <f>Données!H185</f>
        <v>79400.45</v>
      </c>
      <c r="I185" s="321">
        <f>Données!I185</f>
        <v>71326.55</v>
      </c>
      <c r="J185" s="321">
        <f>Données!J185</f>
        <v>831200.96</v>
      </c>
      <c r="K185" s="321">
        <f>Données!K185</f>
        <v>12625.97</v>
      </c>
      <c r="L185" s="321">
        <f>Données!L185</f>
        <v>-56597.18</v>
      </c>
      <c r="M185" s="321">
        <f>Données!M185</f>
        <v>-766</v>
      </c>
      <c r="N185" s="321">
        <f>Données!N185</f>
        <v>14879.655184372918</v>
      </c>
      <c r="O185" s="321">
        <f>Données!O185</f>
        <v>1934727.8</v>
      </c>
      <c r="P185" s="321">
        <f>Données!P185</f>
        <v>-32723.3</v>
      </c>
      <c r="Q185" s="321">
        <f>Données!Q185</f>
        <v>49562.55</v>
      </c>
      <c r="R185" s="321">
        <f>Données!R185</f>
        <v>-132337.70000000001</v>
      </c>
      <c r="S185" s="313"/>
      <c r="T185" s="302">
        <f t="shared" si="12"/>
        <v>26306396.780715551</v>
      </c>
      <c r="U185" s="322">
        <f t="shared" si="13"/>
        <v>1289818.5333333334</v>
      </c>
      <c r="V185" s="322">
        <f t="shared" si="14"/>
        <v>-115498.45000000001</v>
      </c>
      <c r="W185" s="323">
        <f t="shared" si="15"/>
        <v>27480716.864048887</v>
      </c>
      <c r="X185" s="302">
        <f t="shared" si="16"/>
        <v>8544.9990248908234</v>
      </c>
      <c r="Y185" s="324">
        <f t="shared" si="17"/>
        <v>2.5580653566803102</v>
      </c>
    </row>
    <row r="186" spans="1:25" x14ac:dyDescent="0.25">
      <c r="A186" s="148">
        <f>Données!A186</f>
        <v>5713</v>
      </c>
      <c r="B186" s="156" t="str">
        <f>Données!B186</f>
        <v>Crans</v>
      </c>
      <c r="C186" s="318">
        <f>Données!C186</f>
        <v>2455</v>
      </c>
      <c r="D186" s="319">
        <f>Données!D186</f>
        <v>59</v>
      </c>
      <c r="E186" s="320">
        <f>Données!E186</f>
        <v>1</v>
      </c>
      <c r="F186" s="321">
        <f>Données!F186</f>
        <v>9809344.8699999992</v>
      </c>
      <c r="G186" s="321">
        <f>Données!G186</f>
        <v>5027544.3499999996</v>
      </c>
      <c r="H186" s="321">
        <f>Données!H186</f>
        <v>106044.9</v>
      </c>
      <c r="I186" s="321">
        <f>Données!I186</f>
        <v>34649.599999999999</v>
      </c>
      <c r="J186" s="321">
        <f>Données!J186</f>
        <v>677850.7</v>
      </c>
      <c r="K186" s="321">
        <f>Données!K186</f>
        <v>14515.66</v>
      </c>
      <c r="L186" s="321">
        <f>Données!L186</f>
        <v>-25378.34</v>
      </c>
      <c r="M186" s="321">
        <f>Données!M186</f>
        <v>-400</v>
      </c>
      <c r="N186" s="321">
        <f>Données!N186</f>
        <v>13889.254389311505</v>
      </c>
      <c r="O186" s="321">
        <f>Données!O186</f>
        <v>970717.45</v>
      </c>
      <c r="P186" s="321">
        <f>Données!P186</f>
        <v>276420.26</v>
      </c>
      <c r="Q186" s="321">
        <f>Données!Q186</f>
        <v>26586.6</v>
      </c>
      <c r="R186" s="321">
        <f>Données!R186</f>
        <v>-103598.68</v>
      </c>
      <c r="S186" s="313"/>
      <c r="T186" s="302">
        <f t="shared" si="12"/>
        <v>17909604.908690929</v>
      </c>
      <c r="U186" s="322">
        <f t="shared" si="13"/>
        <v>970717.45</v>
      </c>
      <c r="V186" s="322">
        <f t="shared" si="14"/>
        <v>199408.18</v>
      </c>
      <c r="W186" s="323">
        <f t="shared" si="15"/>
        <v>19079730.538690928</v>
      </c>
      <c r="X186" s="302">
        <f t="shared" si="16"/>
        <v>7771.7843334789932</v>
      </c>
      <c r="Y186" s="324">
        <f t="shared" si="17"/>
        <v>2.3265926894962279</v>
      </c>
    </row>
    <row r="187" spans="1:25" x14ac:dyDescent="0.25">
      <c r="A187" s="148">
        <f>Données!A187</f>
        <v>5714</v>
      </c>
      <c r="B187" s="156" t="str">
        <f>Données!B187</f>
        <v>Crassier</v>
      </c>
      <c r="C187" s="318">
        <f>Données!C187</f>
        <v>1274</v>
      </c>
      <c r="D187" s="319">
        <f>Données!D187</f>
        <v>66.5</v>
      </c>
      <c r="E187" s="320">
        <f>Données!E187</f>
        <v>1</v>
      </c>
      <c r="F187" s="321">
        <f>Données!F187</f>
        <v>3352686.13</v>
      </c>
      <c r="G187" s="321">
        <f>Données!G187</f>
        <v>501201.72</v>
      </c>
      <c r="H187" s="321">
        <f>Données!H187</f>
        <v>32523.9</v>
      </c>
      <c r="I187" s="321">
        <f>Données!I187</f>
        <v>2532.5</v>
      </c>
      <c r="J187" s="321">
        <f>Données!J187</f>
        <v>199581.05</v>
      </c>
      <c r="K187" s="321">
        <f>Données!K187</f>
        <v>0</v>
      </c>
      <c r="L187" s="321">
        <f>Données!L187</f>
        <v>-4216.1099999999997</v>
      </c>
      <c r="M187" s="321">
        <f>Données!M187</f>
        <v>-167</v>
      </c>
      <c r="N187" s="321">
        <f>Données!N187</f>
        <v>3460.741234187974</v>
      </c>
      <c r="O187" s="321">
        <f>Données!O187</f>
        <v>322417.59999999998</v>
      </c>
      <c r="P187" s="321">
        <f>Données!P187</f>
        <v>41039.58</v>
      </c>
      <c r="Q187" s="321">
        <f>Données!Q187</f>
        <v>9331.5499999999993</v>
      </c>
      <c r="R187" s="321">
        <f>Données!R187</f>
        <v>-3856.6</v>
      </c>
      <c r="S187" s="313"/>
      <c r="T187" s="302">
        <f t="shared" si="12"/>
        <v>4148079.7081421982</v>
      </c>
      <c r="U187" s="322">
        <f t="shared" si="13"/>
        <v>322417.59999999998</v>
      </c>
      <c r="V187" s="322">
        <f t="shared" si="14"/>
        <v>46514.530000000006</v>
      </c>
      <c r="W187" s="323">
        <f t="shared" si="15"/>
        <v>4517011.8381421985</v>
      </c>
      <c r="X187" s="302">
        <f t="shared" si="16"/>
        <v>3545.535194774096</v>
      </c>
      <c r="Y187" s="324">
        <f t="shared" si="17"/>
        <v>1.0614057094943052</v>
      </c>
    </row>
    <row r="188" spans="1:25" x14ac:dyDescent="0.25">
      <c r="A188" s="148">
        <f>Données!A188</f>
        <v>5715</v>
      </c>
      <c r="B188" s="156" t="str">
        <f>Données!B188</f>
        <v>Duillier</v>
      </c>
      <c r="C188" s="318">
        <f>Données!C188</f>
        <v>1143</v>
      </c>
      <c r="D188" s="319">
        <f>Données!D188</f>
        <v>66</v>
      </c>
      <c r="E188" s="320">
        <f>Données!E188</f>
        <v>1</v>
      </c>
      <c r="F188" s="321">
        <f>Données!F188</f>
        <v>2836851.28</v>
      </c>
      <c r="G188" s="321">
        <f>Données!G188</f>
        <v>588788.13</v>
      </c>
      <c r="H188" s="321">
        <f>Données!H188</f>
        <v>79724.2</v>
      </c>
      <c r="I188" s="321">
        <f>Données!I188</f>
        <v>-159.5</v>
      </c>
      <c r="J188" s="321">
        <f>Données!J188</f>
        <v>0</v>
      </c>
      <c r="K188" s="321">
        <f>Données!K188</f>
        <v>252.09</v>
      </c>
      <c r="L188" s="321">
        <f>Données!L188</f>
        <v>-2768.03</v>
      </c>
      <c r="M188" s="321">
        <f>Données!M188</f>
        <v>0</v>
      </c>
      <c r="N188" s="321">
        <f>Données!N188</f>
        <v>7854.5668715497277</v>
      </c>
      <c r="O188" s="321">
        <f>Données!O188</f>
        <v>304436.59999999998</v>
      </c>
      <c r="P188" s="321">
        <f>Données!P188</f>
        <v>45887.34</v>
      </c>
      <c r="Q188" s="321">
        <f>Données!Q188</f>
        <v>9200</v>
      </c>
      <c r="R188" s="321">
        <f>Données!R188</f>
        <v>-8974.7999999999993</v>
      </c>
      <c r="S188" s="313"/>
      <c r="T188" s="302">
        <f t="shared" si="12"/>
        <v>3589470.3091419358</v>
      </c>
      <c r="U188" s="322">
        <f t="shared" si="13"/>
        <v>304436.59999999998</v>
      </c>
      <c r="V188" s="322">
        <f t="shared" si="14"/>
        <v>46112.539999999994</v>
      </c>
      <c r="W188" s="323">
        <f t="shared" si="15"/>
        <v>3940019.4491419359</v>
      </c>
      <c r="X188" s="302">
        <f t="shared" si="16"/>
        <v>3447.086132232665</v>
      </c>
      <c r="Y188" s="324">
        <f t="shared" si="17"/>
        <v>1.0319336012411267</v>
      </c>
    </row>
    <row r="189" spans="1:25" x14ac:dyDescent="0.25">
      <c r="A189" s="148">
        <f>Données!A189</f>
        <v>5716</v>
      </c>
      <c r="B189" s="156" t="str">
        <f>Données!B189</f>
        <v>Eysins</v>
      </c>
      <c r="C189" s="318">
        <f>Données!C189</f>
        <v>1772</v>
      </c>
      <c r="D189" s="319">
        <f>Données!D189</f>
        <v>59.5</v>
      </c>
      <c r="E189" s="320">
        <f>Données!E189</f>
        <v>1</v>
      </c>
      <c r="F189" s="321">
        <f>Données!F189</f>
        <v>4721641.49</v>
      </c>
      <c r="G189" s="321">
        <f>Données!G189</f>
        <v>973420.34</v>
      </c>
      <c r="H189" s="321">
        <f>Données!H189</f>
        <v>14106248.550000001</v>
      </c>
      <c r="I189" s="321">
        <f>Données!I189</f>
        <v>854973.95</v>
      </c>
      <c r="J189" s="321">
        <f>Données!J189</f>
        <v>0</v>
      </c>
      <c r="K189" s="321">
        <f>Données!K189</f>
        <v>30890.46</v>
      </c>
      <c r="L189" s="321">
        <f>Données!L189</f>
        <v>-29142.71</v>
      </c>
      <c r="M189" s="321">
        <f>Données!M189</f>
        <v>-8450</v>
      </c>
      <c r="N189" s="321">
        <f>Données!N189</f>
        <v>1476960.5441406101</v>
      </c>
      <c r="O189" s="321">
        <f>Données!O189</f>
        <v>722232.6</v>
      </c>
      <c r="P189" s="321">
        <f>Données!P189</f>
        <v>250388.29</v>
      </c>
      <c r="Q189" s="321">
        <f>Données!Q189</f>
        <v>-123.5</v>
      </c>
      <c r="R189" s="321">
        <f>Données!R189</f>
        <v>-3488.2</v>
      </c>
      <c r="S189" s="313"/>
      <c r="T189" s="302">
        <f t="shared" si="12"/>
        <v>25095544.867470872</v>
      </c>
      <c r="U189" s="322">
        <f t="shared" si="13"/>
        <v>722232.6</v>
      </c>
      <c r="V189" s="322">
        <f t="shared" si="14"/>
        <v>246776.59</v>
      </c>
      <c r="W189" s="323">
        <f t="shared" si="15"/>
        <v>26064554.057470873</v>
      </c>
      <c r="X189" s="302">
        <f t="shared" si="16"/>
        <v>14709.116285254442</v>
      </c>
      <c r="Y189" s="324">
        <f t="shared" si="17"/>
        <v>4.4033803499670157</v>
      </c>
    </row>
    <row r="190" spans="1:25" x14ac:dyDescent="0.25">
      <c r="A190" s="148">
        <f>Données!A190</f>
        <v>5717</v>
      </c>
      <c r="B190" s="156" t="str">
        <f>Données!B190</f>
        <v>Founex</v>
      </c>
      <c r="C190" s="318">
        <f>Données!C190</f>
        <v>3748</v>
      </c>
      <c r="D190" s="319">
        <f>Données!D190</f>
        <v>57</v>
      </c>
      <c r="E190" s="320">
        <f>Données!E190</f>
        <v>1</v>
      </c>
      <c r="F190" s="321">
        <f>Données!F190</f>
        <v>15149596.92</v>
      </c>
      <c r="G190" s="321">
        <f>Données!G190</f>
        <v>4315512.18</v>
      </c>
      <c r="H190" s="321">
        <f>Données!H190</f>
        <v>101430.7</v>
      </c>
      <c r="I190" s="321">
        <f>Données!I190</f>
        <v>34687.199999999997</v>
      </c>
      <c r="J190" s="321">
        <f>Données!J190</f>
        <v>1395207.12</v>
      </c>
      <c r="K190" s="321">
        <f>Données!K190</f>
        <v>50575.76</v>
      </c>
      <c r="L190" s="321">
        <f>Données!L190</f>
        <v>-118760.11</v>
      </c>
      <c r="M190" s="321">
        <f>Données!M190</f>
        <v>-2350</v>
      </c>
      <c r="N190" s="321">
        <f>Données!N190</f>
        <v>13437.455906512796</v>
      </c>
      <c r="O190" s="321">
        <f>Données!O190</f>
        <v>1465209.9</v>
      </c>
      <c r="P190" s="321">
        <f>Données!P190</f>
        <v>50213.55</v>
      </c>
      <c r="Q190" s="321">
        <f>Données!Q190</f>
        <v>67511</v>
      </c>
      <c r="R190" s="321">
        <f>Données!R190</f>
        <v>-322557.3</v>
      </c>
      <c r="S190" s="313"/>
      <c r="T190" s="302">
        <f t="shared" si="12"/>
        <v>24790661.306459449</v>
      </c>
      <c r="U190" s="322">
        <f t="shared" si="13"/>
        <v>1465209.9</v>
      </c>
      <c r="V190" s="322">
        <f t="shared" si="14"/>
        <v>-204832.75</v>
      </c>
      <c r="W190" s="323">
        <f t="shared" si="15"/>
        <v>26051038.456459448</v>
      </c>
      <c r="X190" s="302">
        <f t="shared" si="16"/>
        <v>6950.6506020436091</v>
      </c>
      <c r="Y190" s="324">
        <f t="shared" si="17"/>
        <v>2.0807747853083072</v>
      </c>
    </row>
    <row r="191" spans="1:25" x14ac:dyDescent="0.25">
      <c r="A191" s="148">
        <f>Données!A191</f>
        <v>5718</v>
      </c>
      <c r="B191" s="156" t="str">
        <f>Données!B191</f>
        <v>Genolier</v>
      </c>
      <c r="C191" s="318">
        <f>Données!C191</f>
        <v>2012</v>
      </c>
      <c r="D191" s="319">
        <f>Données!D191</f>
        <v>52</v>
      </c>
      <c r="E191" s="320">
        <f>Données!E191</f>
        <v>1</v>
      </c>
      <c r="F191" s="321">
        <f>Données!F191</f>
        <v>6831271.4199999999</v>
      </c>
      <c r="G191" s="321">
        <f>Données!G191</f>
        <v>2043052.72</v>
      </c>
      <c r="H191" s="321">
        <f>Données!H191</f>
        <v>-107726.25</v>
      </c>
      <c r="I191" s="321">
        <f>Données!I191</f>
        <v>26487.55</v>
      </c>
      <c r="J191" s="321">
        <f>Données!J191</f>
        <v>517980.7</v>
      </c>
      <c r="K191" s="321">
        <f>Données!K191</f>
        <v>6127.43</v>
      </c>
      <c r="L191" s="321">
        <f>Données!L191</f>
        <v>-86866.94</v>
      </c>
      <c r="M191" s="321">
        <f>Données!M191</f>
        <v>-2750</v>
      </c>
      <c r="N191" s="321">
        <f>Données!N191</f>
        <v>-8019.8228826070708</v>
      </c>
      <c r="O191" s="321">
        <f>Données!O191</f>
        <v>752106.55</v>
      </c>
      <c r="P191" s="321">
        <f>Données!P191</f>
        <v>75113.38</v>
      </c>
      <c r="Q191" s="321">
        <f>Données!Q191</f>
        <v>49948.800000000003</v>
      </c>
      <c r="R191" s="321">
        <f>Données!R191</f>
        <v>-39714.74</v>
      </c>
      <c r="S191" s="313"/>
      <c r="T191" s="302">
        <f t="shared" si="12"/>
        <v>11964835.64816425</v>
      </c>
      <c r="U191" s="322">
        <f t="shared" si="13"/>
        <v>752106.55</v>
      </c>
      <c r="V191" s="322">
        <f t="shared" si="14"/>
        <v>85347.44</v>
      </c>
      <c r="W191" s="323">
        <f t="shared" si="15"/>
        <v>12802289.63816425</v>
      </c>
      <c r="X191" s="302">
        <f t="shared" si="16"/>
        <v>6362.9670169802439</v>
      </c>
      <c r="Y191" s="324">
        <f t="shared" si="17"/>
        <v>1.9048434580768814</v>
      </c>
    </row>
    <row r="192" spans="1:25" x14ac:dyDescent="0.25">
      <c r="A192" s="148">
        <f>Données!A192</f>
        <v>5719</v>
      </c>
      <c r="B192" s="156" t="str">
        <f>Données!B192</f>
        <v>Gingins</v>
      </c>
      <c r="C192" s="318">
        <f>Données!C192</f>
        <v>1253</v>
      </c>
      <c r="D192" s="319">
        <f>Données!D192</f>
        <v>60</v>
      </c>
      <c r="E192" s="320">
        <f>Données!E192</f>
        <v>0.6</v>
      </c>
      <c r="F192" s="321">
        <f>Données!F192</f>
        <v>6067386.2300000004</v>
      </c>
      <c r="G192" s="321">
        <f>Données!G192</f>
        <v>3451324.85</v>
      </c>
      <c r="H192" s="321">
        <f>Données!H192</f>
        <v>69598.75</v>
      </c>
      <c r="I192" s="321">
        <f>Données!I192</f>
        <v>16327.45</v>
      </c>
      <c r="J192" s="321">
        <f>Données!J192</f>
        <v>303500.69</v>
      </c>
      <c r="K192" s="321">
        <f>Données!K192</f>
        <v>3485.76</v>
      </c>
      <c r="L192" s="321">
        <f>Données!L192</f>
        <v>-7421.03</v>
      </c>
      <c r="M192" s="321">
        <f>Données!M192</f>
        <v>-450</v>
      </c>
      <c r="N192" s="321">
        <f>Données!N192</f>
        <v>8482.5693293402255</v>
      </c>
      <c r="O192" s="321">
        <f>Données!O192</f>
        <v>275813.5</v>
      </c>
      <c r="P192" s="321">
        <f>Données!P192</f>
        <v>22565.78</v>
      </c>
      <c r="Q192" s="321">
        <f>Données!Q192</f>
        <v>16041.8</v>
      </c>
      <c r="R192" s="321">
        <f>Données!R192</f>
        <v>-14421.32</v>
      </c>
      <c r="S192" s="313"/>
      <c r="T192" s="302">
        <f t="shared" si="12"/>
        <v>11148601.384358518</v>
      </c>
      <c r="U192" s="322">
        <f t="shared" si="13"/>
        <v>459689.16666666669</v>
      </c>
      <c r="V192" s="322">
        <f t="shared" si="14"/>
        <v>24186.260000000002</v>
      </c>
      <c r="W192" s="323">
        <f t="shared" si="15"/>
        <v>11632476.811025184</v>
      </c>
      <c r="X192" s="302">
        <f t="shared" si="16"/>
        <v>9283.700567458247</v>
      </c>
      <c r="Y192" s="324">
        <f t="shared" si="17"/>
        <v>2.7792060284888915</v>
      </c>
    </row>
    <row r="193" spans="1:25" x14ac:dyDescent="0.25">
      <c r="A193" s="148">
        <f>Données!A193</f>
        <v>5720</v>
      </c>
      <c r="B193" s="156" t="str">
        <f>Données!B193</f>
        <v>Givrins</v>
      </c>
      <c r="C193" s="318">
        <f>Données!C193</f>
        <v>1071</v>
      </c>
      <c r="D193" s="319">
        <f>Données!D193</f>
        <v>67</v>
      </c>
      <c r="E193" s="320">
        <f>Données!E193</f>
        <v>0.9</v>
      </c>
      <c r="F193" s="321">
        <f>Données!F193</f>
        <v>3482253.3</v>
      </c>
      <c r="G193" s="321">
        <f>Données!G193</f>
        <v>780687.77</v>
      </c>
      <c r="H193" s="321">
        <f>Données!H193</f>
        <v>72974.850000000006</v>
      </c>
      <c r="I193" s="321">
        <f>Données!I193</f>
        <v>7407.5</v>
      </c>
      <c r="J193" s="321">
        <f>Données!J193</f>
        <v>491109.07</v>
      </c>
      <c r="K193" s="321">
        <f>Données!K193</f>
        <v>1397.71</v>
      </c>
      <c r="L193" s="321">
        <f>Données!L193</f>
        <v>-16647.46</v>
      </c>
      <c r="M193" s="321">
        <f>Données!M193</f>
        <v>-800</v>
      </c>
      <c r="N193" s="321">
        <f>Données!N193</f>
        <v>7935.2846597462858</v>
      </c>
      <c r="O193" s="321">
        <f>Données!O193</f>
        <v>307247.05</v>
      </c>
      <c r="P193" s="321">
        <f>Données!P193</f>
        <v>25906.3</v>
      </c>
      <c r="Q193" s="321">
        <f>Données!Q193</f>
        <v>0</v>
      </c>
      <c r="R193" s="321">
        <f>Données!R193</f>
        <v>-11817.57</v>
      </c>
      <c r="S193" s="313"/>
      <c r="T193" s="302">
        <f t="shared" si="12"/>
        <v>4861174.0356317246</v>
      </c>
      <c r="U193" s="322">
        <f t="shared" si="13"/>
        <v>341385.61111111107</v>
      </c>
      <c r="V193" s="322">
        <f t="shared" si="14"/>
        <v>14088.73</v>
      </c>
      <c r="W193" s="323">
        <f t="shared" si="15"/>
        <v>5216648.3767428361</v>
      </c>
      <c r="X193" s="302">
        <f t="shared" si="16"/>
        <v>4870.8201463518544</v>
      </c>
      <c r="Y193" s="324">
        <f t="shared" si="17"/>
        <v>1.4581483553957915</v>
      </c>
    </row>
    <row r="194" spans="1:25" x14ac:dyDescent="0.25">
      <c r="A194" s="148">
        <f>Données!A194</f>
        <v>5721</v>
      </c>
      <c r="B194" s="156" t="str">
        <f>Données!B194</f>
        <v>Gland</v>
      </c>
      <c r="C194" s="318">
        <f>Données!C194</f>
        <v>13968</v>
      </c>
      <c r="D194" s="319">
        <f>Données!D194</f>
        <v>61</v>
      </c>
      <c r="E194" s="320">
        <f>Données!E194</f>
        <v>1</v>
      </c>
      <c r="F194" s="321">
        <f>Données!F194</f>
        <v>27351891.23</v>
      </c>
      <c r="G194" s="321">
        <f>Données!G194</f>
        <v>5779491.6299999999</v>
      </c>
      <c r="H194" s="321">
        <f>Données!H194</f>
        <v>5218417.5999999996</v>
      </c>
      <c r="I194" s="321">
        <f>Données!I194</f>
        <v>442170.4</v>
      </c>
      <c r="J194" s="321">
        <f>Données!J194</f>
        <v>709037</v>
      </c>
      <c r="K194" s="321">
        <f>Données!K194</f>
        <v>66229.039999999994</v>
      </c>
      <c r="L194" s="321">
        <f>Données!L194</f>
        <v>-232994.58</v>
      </c>
      <c r="M194" s="321">
        <f>Données!M194</f>
        <v>-16466.66</v>
      </c>
      <c r="N194" s="321">
        <f>Données!N194</f>
        <v>558808.95646300341</v>
      </c>
      <c r="O194" s="321">
        <f>Données!O194</f>
        <v>3255697.55</v>
      </c>
      <c r="P194" s="321">
        <f>Données!P194</f>
        <v>917434.62</v>
      </c>
      <c r="Q194" s="321">
        <f>Données!Q194</f>
        <v>391496.3</v>
      </c>
      <c r="R194" s="321">
        <f>Données!R194</f>
        <v>-47497.17</v>
      </c>
      <c r="S194" s="313"/>
      <c r="T194" s="302">
        <f t="shared" si="12"/>
        <v>44115190.184263542</v>
      </c>
      <c r="U194" s="322">
        <f t="shared" si="13"/>
        <v>3255697.55</v>
      </c>
      <c r="V194" s="322">
        <f t="shared" si="14"/>
        <v>1261433.75</v>
      </c>
      <c r="W194" s="323">
        <f t="shared" si="15"/>
        <v>48632321.484263539</v>
      </c>
      <c r="X194" s="302">
        <f t="shared" si="16"/>
        <v>3481.6954098126816</v>
      </c>
      <c r="Y194" s="324">
        <f t="shared" si="17"/>
        <v>1.0422943741024557</v>
      </c>
    </row>
    <row r="195" spans="1:25" x14ac:dyDescent="0.25">
      <c r="A195" s="148">
        <f>Données!A195</f>
        <v>5722</v>
      </c>
      <c r="B195" s="156" t="str">
        <f>Données!B195</f>
        <v>Grens</v>
      </c>
      <c r="C195" s="318">
        <f>Données!C195</f>
        <v>394</v>
      </c>
      <c r="D195" s="319">
        <f>Données!D195</f>
        <v>62</v>
      </c>
      <c r="E195" s="320">
        <f>Données!E195</f>
        <v>1</v>
      </c>
      <c r="F195" s="321">
        <f>Données!F195</f>
        <v>1053371.3400000001</v>
      </c>
      <c r="G195" s="321">
        <f>Données!G195</f>
        <v>147588.17000000001</v>
      </c>
      <c r="H195" s="321">
        <f>Données!H195</f>
        <v>287270.15000000002</v>
      </c>
      <c r="I195" s="321">
        <f>Données!I195</f>
        <v>29877.45</v>
      </c>
      <c r="J195" s="321">
        <f>Données!J195</f>
        <v>0</v>
      </c>
      <c r="K195" s="321">
        <f>Données!K195</f>
        <v>9291.06</v>
      </c>
      <c r="L195" s="321">
        <f>Données!L195</f>
        <v>-6806.95</v>
      </c>
      <c r="M195" s="321">
        <f>Données!M195</f>
        <v>0</v>
      </c>
      <c r="N195" s="321">
        <f>Données!N195</f>
        <v>31308.57066452214</v>
      </c>
      <c r="O195" s="321">
        <f>Données!O195</f>
        <v>150942.85</v>
      </c>
      <c r="P195" s="321">
        <f>Données!P195</f>
        <v>34159.620000000003</v>
      </c>
      <c r="Q195" s="321">
        <f>Données!Q195</f>
        <v>26422.1</v>
      </c>
      <c r="R195" s="321">
        <f>Données!R195</f>
        <v>-2959.75</v>
      </c>
      <c r="S195" s="313"/>
      <c r="T195" s="302">
        <f t="shared" si="12"/>
        <v>1689164.7952593188</v>
      </c>
      <c r="U195" s="322">
        <f t="shared" si="13"/>
        <v>150942.85</v>
      </c>
      <c r="V195" s="322">
        <f t="shared" si="14"/>
        <v>57621.97</v>
      </c>
      <c r="W195" s="323">
        <f t="shared" si="15"/>
        <v>1897729.6152593188</v>
      </c>
      <c r="X195" s="302">
        <f t="shared" si="16"/>
        <v>4816.5726275617226</v>
      </c>
      <c r="Y195" s="324">
        <f t="shared" si="17"/>
        <v>1.4419085994755534</v>
      </c>
    </row>
    <row r="196" spans="1:25" x14ac:dyDescent="0.25">
      <c r="A196" s="148">
        <f>Données!A196</f>
        <v>5723</v>
      </c>
      <c r="B196" s="156" t="str">
        <f>Données!B196</f>
        <v>Mies</v>
      </c>
      <c r="C196" s="318">
        <f>Données!C196</f>
        <v>2163</v>
      </c>
      <c r="D196" s="319">
        <f>Données!D196</f>
        <v>53</v>
      </c>
      <c r="E196" s="320">
        <f>Données!E196</f>
        <v>1</v>
      </c>
      <c r="F196" s="321">
        <f>Données!F196</f>
        <v>9357084.5199999996</v>
      </c>
      <c r="G196" s="321">
        <f>Données!G196</f>
        <v>2630196.73</v>
      </c>
      <c r="H196" s="321">
        <f>Données!H196</f>
        <v>195984.5</v>
      </c>
      <c r="I196" s="321">
        <f>Données!I196</f>
        <v>29549.1</v>
      </c>
      <c r="J196" s="321">
        <f>Données!J196</f>
        <v>1129001.7</v>
      </c>
      <c r="K196" s="321">
        <f>Données!K196</f>
        <v>582.70000000000005</v>
      </c>
      <c r="L196" s="321">
        <f>Données!L196</f>
        <v>-20609.12</v>
      </c>
      <c r="M196" s="321">
        <f>Données!M196</f>
        <v>-41200</v>
      </c>
      <c r="N196" s="321">
        <f>Données!N196</f>
        <v>22264.506030706427</v>
      </c>
      <c r="O196" s="321">
        <f>Données!O196</f>
        <v>1036881.45</v>
      </c>
      <c r="P196" s="321">
        <f>Données!P196</f>
        <v>30995.63</v>
      </c>
      <c r="Q196" s="321">
        <f>Données!Q196</f>
        <v>86133.35</v>
      </c>
      <c r="R196" s="321">
        <f>Données!R196</f>
        <v>-46544.78</v>
      </c>
      <c r="S196" s="313"/>
      <c r="T196" s="302">
        <f t="shared" si="12"/>
        <v>16938268.477225792</v>
      </c>
      <c r="U196" s="322">
        <f t="shared" si="13"/>
        <v>1036881.45</v>
      </c>
      <c r="V196" s="322">
        <f t="shared" si="14"/>
        <v>70584.200000000012</v>
      </c>
      <c r="W196" s="323">
        <f t="shared" si="15"/>
        <v>18045734.12722579</v>
      </c>
      <c r="X196" s="302">
        <f t="shared" si="16"/>
        <v>8342.9191526702689</v>
      </c>
      <c r="Y196" s="324">
        <f t="shared" si="17"/>
        <v>2.497569911460948</v>
      </c>
    </row>
    <row r="197" spans="1:25" x14ac:dyDescent="0.25">
      <c r="A197" s="148">
        <f>Données!A197</f>
        <v>5724</v>
      </c>
      <c r="B197" s="156" t="str">
        <f>Données!B197</f>
        <v>Nyon</v>
      </c>
      <c r="C197" s="318">
        <f>Données!C197</f>
        <v>23328</v>
      </c>
      <c r="D197" s="319">
        <f>Données!D197</f>
        <v>61</v>
      </c>
      <c r="E197" s="320">
        <f>Données!E197</f>
        <v>1.5</v>
      </c>
      <c r="F197" s="321">
        <f>Données!F197</f>
        <v>64043986.649999999</v>
      </c>
      <c r="G197" s="321">
        <f>Données!G197</f>
        <v>12191843.83</v>
      </c>
      <c r="H197" s="321">
        <f>Données!H197</f>
        <v>10459614.15</v>
      </c>
      <c r="I197" s="321">
        <f>Données!I197</f>
        <v>1463917.85</v>
      </c>
      <c r="J197" s="321">
        <f>Données!J197</f>
        <v>1171841.25</v>
      </c>
      <c r="K197" s="321">
        <f>Données!K197</f>
        <v>112518.51</v>
      </c>
      <c r="L197" s="321">
        <f>Données!L197</f>
        <v>-620562.87</v>
      </c>
      <c r="M197" s="321">
        <f>Données!M197</f>
        <v>-27756.32</v>
      </c>
      <c r="N197" s="321">
        <f>Données!N197</f>
        <v>1177082.0406419314</v>
      </c>
      <c r="O197" s="321">
        <f>Données!O197</f>
        <v>9371948.0500000007</v>
      </c>
      <c r="P197" s="321">
        <f>Données!P197</f>
        <v>3385610.47</v>
      </c>
      <c r="Q197" s="321">
        <f>Données!Q197</f>
        <v>1070922.2</v>
      </c>
      <c r="R197" s="321">
        <f>Données!R197</f>
        <v>-648286.54</v>
      </c>
      <c r="S197" s="313"/>
      <c r="T197" s="302">
        <f t="shared" si="12"/>
        <v>99535938.930081412</v>
      </c>
      <c r="U197" s="322">
        <f t="shared" si="13"/>
        <v>6247965.3666666672</v>
      </c>
      <c r="V197" s="322">
        <f t="shared" si="14"/>
        <v>3808246.13</v>
      </c>
      <c r="W197" s="323">
        <f t="shared" si="15"/>
        <v>109592150.42674807</v>
      </c>
      <c r="X197" s="302">
        <f t="shared" si="16"/>
        <v>4697.880248060188</v>
      </c>
      <c r="Y197" s="324">
        <f t="shared" si="17"/>
        <v>1.4063763702476271</v>
      </c>
    </row>
    <row r="198" spans="1:25" x14ac:dyDescent="0.25">
      <c r="A198" s="148">
        <f>Données!A198</f>
        <v>5725</v>
      </c>
      <c r="B198" s="156" t="str">
        <f>Données!B198</f>
        <v>Prangins</v>
      </c>
      <c r="C198" s="318">
        <f>Données!C198</f>
        <v>4280</v>
      </c>
      <c r="D198" s="319">
        <f>Données!D198</f>
        <v>55</v>
      </c>
      <c r="E198" s="320">
        <f>Données!E198</f>
        <v>1.4</v>
      </c>
      <c r="F198" s="321">
        <f>Données!F198</f>
        <v>10677708.800000001</v>
      </c>
      <c r="G198" s="321">
        <f>Données!G198</f>
        <v>3740295.97</v>
      </c>
      <c r="H198" s="321">
        <f>Données!H198</f>
        <v>3561047.6</v>
      </c>
      <c r="I198" s="321">
        <f>Données!I198</f>
        <v>42135.75</v>
      </c>
      <c r="J198" s="321">
        <f>Données!J198</f>
        <v>362653.88</v>
      </c>
      <c r="K198" s="321">
        <f>Données!K198</f>
        <v>17757.62</v>
      </c>
      <c r="L198" s="321">
        <f>Données!L198</f>
        <v>-44730.91</v>
      </c>
      <c r="M198" s="321">
        <f>Données!M198</f>
        <v>-25350</v>
      </c>
      <c r="N198" s="321">
        <f>Données!N198</f>
        <v>355703.52898998634</v>
      </c>
      <c r="O198" s="321">
        <f>Données!O198</f>
        <v>1796701.45</v>
      </c>
      <c r="P198" s="321">
        <f>Données!P198</f>
        <v>233998.61</v>
      </c>
      <c r="Q198" s="321">
        <f>Données!Q198</f>
        <v>45997</v>
      </c>
      <c r="R198" s="321">
        <f>Données!R198</f>
        <v>-33266.44</v>
      </c>
      <c r="S198" s="313"/>
      <c r="T198" s="302">
        <f t="shared" si="12"/>
        <v>22928840.722891033</v>
      </c>
      <c r="U198" s="322">
        <f t="shared" si="13"/>
        <v>1283358.1785714286</v>
      </c>
      <c r="V198" s="322">
        <f t="shared" si="14"/>
        <v>246729.16999999998</v>
      </c>
      <c r="W198" s="323">
        <f t="shared" si="15"/>
        <v>24458928.071462464</v>
      </c>
      <c r="X198" s="302">
        <f t="shared" si="16"/>
        <v>5714.7028204351554</v>
      </c>
      <c r="Y198" s="324">
        <f t="shared" si="17"/>
        <v>1.7107764747656253</v>
      </c>
    </row>
    <row r="199" spans="1:25" x14ac:dyDescent="0.25">
      <c r="A199" s="148">
        <f>Données!A199</f>
        <v>5726</v>
      </c>
      <c r="B199" s="156" t="str">
        <f>Données!B199</f>
        <v>La Rippe</v>
      </c>
      <c r="C199" s="318">
        <f>Données!C199</f>
        <v>1194</v>
      </c>
      <c r="D199" s="319">
        <f>Données!D199</f>
        <v>63.5</v>
      </c>
      <c r="E199" s="320">
        <f>Données!E199</f>
        <v>1</v>
      </c>
      <c r="F199" s="321">
        <f>Données!F199</f>
        <v>3608246.34</v>
      </c>
      <c r="G199" s="321">
        <f>Données!G199</f>
        <v>785706.03</v>
      </c>
      <c r="H199" s="321">
        <f>Données!H199</f>
        <v>25934</v>
      </c>
      <c r="I199" s="321">
        <f>Données!I199</f>
        <v>4727.6499999999996</v>
      </c>
      <c r="J199" s="321">
        <f>Données!J199</f>
        <v>0</v>
      </c>
      <c r="K199" s="321">
        <f>Données!K199</f>
        <v>3060.02</v>
      </c>
      <c r="L199" s="321">
        <f>Données!L199</f>
        <v>-26380.2</v>
      </c>
      <c r="M199" s="321">
        <f>Données!M199</f>
        <v>0</v>
      </c>
      <c r="N199" s="321">
        <f>Données!N199</f>
        <v>3026.8948455414616</v>
      </c>
      <c r="O199" s="321">
        <f>Données!O199</f>
        <v>292382.05</v>
      </c>
      <c r="P199" s="321">
        <f>Données!P199</f>
        <v>-30887.43</v>
      </c>
      <c r="Q199" s="321">
        <f>Données!Q199</f>
        <v>5351.95</v>
      </c>
      <c r="R199" s="321">
        <f>Données!R199</f>
        <v>-11623.4</v>
      </c>
      <c r="S199" s="313"/>
      <c r="T199" s="302">
        <f t="shared" si="12"/>
        <v>4680640.1015508445</v>
      </c>
      <c r="U199" s="322">
        <f t="shared" si="13"/>
        <v>292382.05</v>
      </c>
      <c r="V199" s="322">
        <f t="shared" si="14"/>
        <v>-37158.879999999997</v>
      </c>
      <c r="W199" s="323">
        <f t="shared" si="15"/>
        <v>4935863.2715508444</v>
      </c>
      <c r="X199" s="302">
        <f t="shared" si="16"/>
        <v>4133.8888371447611</v>
      </c>
      <c r="Y199" s="324">
        <f t="shared" si="17"/>
        <v>1.2375376277825352</v>
      </c>
    </row>
    <row r="200" spans="1:25" x14ac:dyDescent="0.25">
      <c r="A200" s="148">
        <f>Données!A200</f>
        <v>5727</v>
      </c>
      <c r="B200" s="156" t="str">
        <f>Données!B200</f>
        <v>Saint-Cergue</v>
      </c>
      <c r="C200" s="318">
        <f>Données!C200</f>
        <v>3012</v>
      </c>
      <c r="D200" s="319">
        <f>Données!D200</f>
        <v>66</v>
      </c>
      <c r="E200" s="320">
        <f>Données!E200</f>
        <v>1.5</v>
      </c>
      <c r="F200" s="321">
        <f>Données!F200</f>
        <v>5623295.8399999999</v>
      </c>
      <c r="G200" s="321">
        <f>Données!G200</f>
        <v>915735.24</v>
      </c>
      <c r="H200" s="321">
        <f>Données!H200</f>
        <v>78989.75</v>
      </c>
      <c r="I200" s="321">
        <f>Données!I200</f>
        <v>33793.550000000003</v>
      </c>
      <c r="J200" s="321">
        <f>Données!J200</f>
        <v>156752.35</v>
      </c>
      <c r="K200" s="321">
        <f>Données!K200</f>
        <v>48244.54</v>
      </c>
      <c r="L200" s="321">
        <f>Données!L200</f>
        <v>-164447.54999999999</v>
      </c>
      <c r="M200" s="321">
        <f>Données!M200</f>
        <v>-1200</v>
      </c>
      <c r="N200" s="321">
        <f>Données!N200</f>
        <v>11133.881882845715</v>
      </c>
      <c r="O200" s="321">
        <f>Données!O200</f>
        <v>899196.55</v>
      </c>
      <c r="P200" s="321">
        <f>Données!P200</f>
        <v>81225.48</v>
      </c>
      <c r="Q200" s="321">
        <f>Données!Q200</f>
        <v>-464.25</v>
      </c>
      <c r="R200" s="321">
        <f>Données!R200</f>
        <v>-6546.04</v>
      </c>
      <c r="S200" s="313"/>
      <c r="T200" s="302">
        <f t="shared" ref="T200:T263" si="18">(SUM(F200:N200)/D200*$T$4)</f>
        <v>6852985.4350757441</v>
      </c>
      <c r="U200" s="322">
        <f t="shared" ref="U200:U263" si="19">O200/E200*$U$4</f>
        <v>599464.3666666667</v>
      </c>
      <c r="V200" s="322">
        <f t="shared" ref="V200:V263" si="20">SUM(P200:R200)</f>
        <v>74215.19</v>
      </c>
      <c r="W200" s="323">
        <f t="shared" ref="W200:W263" si="21">SUM(T200:V200)</f>
        <v>7526664.9917424107</v>
      </c>
      <c r="X200" s="302">
        <f t="shared" ref="X200:X263" si="22">W200/C200</f>
        <v>2498.892759542633</v>
      </c>
      <c r="Y200" s="324">
        <f t="shared" ref="Y200:Y263" si="23">X200/$X$308</f>
        <v>0.74807861061481429</v>
      </c>
    </row>
    <row r="201" spans="1:25" x14ac:dyDescent="0.25">
      <c r="A201" s="148">
        <f>Données!A201</f>
        <v>5728</v>
      </c>
      <c r="B201" s="156" t="str">
        <f>Données!B201</f>
        <v>Signy-Avenex</v>
      </c>
      <c r="C201" s="318">
        <f>Données!C201</f>
        <v>605</v>
      </c>
      <c r="D201" s="319">
        <f>Données!D201</f>
        <v>58</v>
      </c>
      <c r="E201" s="320">
        <f>Données!E201</f>
        <v>1</v>
      </c>
      <c r="F201" s="321">
        <f>Données!F201</f>
        <v>1388615.18</v>
      </c>
      <c r="G201" s="321">
        <f>Données!G201</f>
        <v>263561.68</v>
      </c>
      <c r="H201" s="321">
        <f>Données!H201</f>
        <v>471663.05</v>
      </c>
      <c r="I201" s="321">
        <f>Données!I201</f>
        <v>51468</v>
      </c>
      <c r="J201" s="321">
        <f>Données!J201</f>
        <v>-31747.15</v>
      </c>
      <c r="K201" s="321">
        <f>Données!K201</f>
        <v>8486.19</v>
      </c>
      <c r="L201" s="321">
        <f>Données!L201</f>
        <v>-2930.89</v>
      </c>
      <c r="M201" s="321">
        <f>Données!M201</f>
        <v>-6971</v>
      </c>
      <c r="N201" s="321">
        <f>Données!N201</f>
        <v>51643.100706833859</v>
      </c>
      <c r="O201" s="321">
        <f>Données!O201</f>
        <v>244808.6</v>
      </c>
      <c r="P201" s="321">
        <f>Données!P201</f>
        <v>73869.52</v>
      </c>
      <c r="Q201" s="321">
        <f>Données!Q201</f>
        <v>60337.95</v>
      </c>
      <c r="R201" s="321">
        <f>Données!R201</f>
        <v>-620.9</v>
      </c>
      <c r="S201" s="313"/>
      <c r="T201" s="302">
        <f t="shared" si="18"/>
        <v>2552505.7627818473</v>
      </c>
      <c r="U201" s="322">
        <f t="shared" si="19"/>
        <v>244808.6</v>
      </c>
      <c r="V201" s="322">
        <f t="shared" si="20"/>
        <v>133586.57</v>
      </c>
      <c r="W201" s="323">
        <f t="shared" si="21"/>
        <v>2930900.9327818472</v>
      </c>
      <c r="X201" s="302">
        <f t="shared" si="22"/>
        <v>4844.4643517055329</v>
      </c>
      <c r="Y201" s="324">
        <f t="shared" si="23"/>
        <v>1.4502583784588547</v>
      </c>
    </row>
    <row r="202" spans="1:25" x14ac:dyDescent="0.25">
      <c r="A202" s="148">
        <f>Données!A202</f>
        <v>5729</v>
      </c>
      <c r="B202" s="156" t="str">
        <f>Données!B202</f>
        <v>Tannay</v>
      </c>
      <c r="C202" s="318">
        <f>Données!C202</f>
        <v>1728</v>
      </c>
      <c r="D202" s="319">
        <f>Données!D202</f>
        <v>60.5</v>
      </c>
      <c r="E202" s="320">
        <f>Données!E202</f>
        <v>1.5</v>
      </c>
      <c r="F202" s="321">
        <f>Données!F202</f>
        <v>8234795.7300000004</v>
      </c>
      <c r="G202" s="321">
        <f>Données!G202</f>
        <v>2096125.85</v>
      </c>
      <c r="H202" s="321">
        <f>Données!H202</f>
        <v>176605.4</v>
      </c>
      <c r="I202" s="321">
        <f>Données!I202</f>
        <v>10086</v>
      </c>
      <c r="J202" s="321">
        <f>Données!J202</f>
        <v>319599.34999999998</v>
      </c>
      <c r="K202" s="321">
        <f>Données!K202</f>
        <v>0</v>
      </c>
      <c r="L202" s="321">
        <f>Données!L202</f>
        <v>-17293.68</v>
      </c>
      <c r="M202" s="321">
        <f>Données!M202</f>
        <v>-2300</v>
      </c>
      <c r="N202" s="321">
        <f>Données!N202</f>
        <v>18430.033490269412</v>
      </c>
      <c r="O202" s="321">
        <f>Données!O202</f>
        <v>1002408</v>
      </c>
      <c r="P202" s="321">
        <f>Données!P202</f>
        <v>23443.78</v>
      </c>
      <c r="Q202" s="321">
        <f>Données!Q202</f>
        <v>-2820.65</v>
      </c>
      <c r="R202" s="321">
        <f>Données!R202</f>
        <v>-50618.71</v>
      </c>
      <c r="S202" s="313"/>
      <c r="T202" s="302">
        <f t="shared" si="18"/>
        <v>12086918.933732249</v>
      </c>
      <c r="U202" s="322">
        <f t="shared" si="19"/>
        <v>668272</v>
      </c>
      <c r="V202" s="322">
        <f t="shared" si="20"/>
        <v>-29995.58</v>
      </c>
      <c r="W202" s="323">
        <f t="shared" si="21"/>
        <v>12725195.353732249</v>
      </c>
      <c r="X202" s="302">
        <f t="shared" si="22"/>
        <v>7364.1176815580147</v>
      </c>
      <c r="Y202" s="324">
        <f t="shared" si="23"/>
        <v>2.2045519570964687</v>
      </c>
    </row>
    <row r="203" spans="1:25" x14ac:dyDescent="0.25">
      <c r="A203" s="148">
        <f>Données!A203</f>
        <v>5730</v>
      </c>
      <c r="B203" s="156" t="str">
        <f>Données!B203</f>
        <v>Trélex</v>
      </c>
      <c r="C203" s="318">
        <f>Données!C203</f>
        <v>1428</v>
      </c>
      <c r="D203" s="319">
        <f>Données!D203</f>
        <v>55.5</v>
      </c>
      <c r="E203" s="320">
        <f>Données!E203</f>
        <v>0.9</v>
      </c>
      <c r="F203" s="321">
        <f>Données!F203</f>
        <v>6739873.6600000001</v>
      </c>
      <c r="G203" s="321">
        <f>Données!G203</f>
        <v>2320284.5099999998</v>
      </c>
      <c r="H203" s="321">
        <f>Données!H203</f>
        <v>43466.25</v>
      </c>
      <c r="I203" s="321">
        <f>Données!I203</f>
        <v>6222.75</v>
      </c>
      <c r="J203" s="321">
        <f>Données!J203</f>
        <v>33147.35</v>
      </c>
      <c r="K203" s="321">
        <f>Données!K203</f>
        <v>468.13</v>
      </c>
      <c r="L203" s="321">
        <f>Données!L203</f>
        <v>-105018.94</v>
      </c>
      <c r="M203" s="321">
        <f>Données!M203</f>
        <v>2900</v>
      </c>
      <c r="N203" s="321">
        <f>Données!N203</f>
        <v>4905.2604142343835</v>
      </c>
      <c r="O203" s="321">
        <f>Données!O203</f>
        <v>442888.45</v>
      </c>
      <c r="P203" s="321">
        <f>Données!P203</f>
        <v>-29522.95</v>
      </c>
      <c r="Q203" s="321">
        <f>Données!Q203</f>
        <v>11986.35</v>
      </c>
      <c r="R203" s="321">
        <f>Données!R203</f>
        <v>-68619.23</v>
      </c>
      <c r="S203" s="313"/>
      <c r="T203" s="302">
        <f t="shared" si="18"/>
        <v>10999567.002990263</v>
      </c>
      <c r="U203" s="322">
        <f t="shared" si="19"/>
        <v>492098.27777777775</v>
      </c>
      <c r="V203" s="322">
        <f t="shared" si="20"/>
        <v>-86155.829999999987</v>
      </c>
      <c r="W203" s="323">
        <f t="shared" si="21"/>
        <v>11405509.45076804</v>
      </c>
      <c r="X203" s="302">
        <f t="shared" si="22"/>
        <v>7987.0514361120731</v>
      </c>
      <c r="Y203" s="324">
        <f t="shared" si="23"/>
        <v>2.3910359171753162</v>
      </c>
    </row>
    <row r="204" spans="1:25" x14ac:dyDescent="0.25">
      <c r="A204" s="148">
        <f>Données!A204</f>
        <v>5731</v>
      </c>
      <c r="B204" s="156" t="str">
        <f>Données!B204</f>
        <v>Le Vaud</v>
      </c>
      <c r="C204" s="318">
        <f>Données!C204</f>
        <v>1374</v>
      </c>
      <c r="D204" s="319">
        <f>Données!D204</f>
        <v>71</v>
      </c>
      <c r="E204" s="320">
        <f>Données!E204</f>
        <v>1.5</v>
      </c>
      <c r="F204" s="321">
        <f>Données!F204</f>
        <v>4528967.8</v>
      </c>
      <c r="G204" s="321">
        <f>Données!G204</f>
        <v>454480.67</v>
      </c>
      <c r="H204" s="321">
        <f>Données!H204</f>
        <v>26345.05</v>
      </c>
      <c r="I204" s="321">
        <f>Données!I204</f>
        <v>4101</v>
      </c>
      <c r="J204" s="321">
        <f>Données!J204</f>
        <v>0</v>
      </c>
      <c r="K204" s="321">
        <f>Données!K204</f>
        <v>1504</v>
      </c>
      <c r="L204" s="321">
        <f>Données!L204</f>
        <v>-26310.7</v>
      </c>
      <c r="M204" s="321">
        <f>Données!M204</f>
        <v>-6400</v>
      </c>
      <c r="N204" s="321">
        <f>Données!N204</f>
        <v>3005.6109769727855</v>
      </c>
      <c r="O204" s="321">
        <f>Données!O204</f>
        <v>476348.15</v>
      </c>
      <c r="P204" s="321">
        <f>Données!P204</f>
        <v>26114.86</v>
      </c>
      <c r="Q204" s="321">
        <f>Données!Q204</f>
        <v>5392.5</v>
      </c>
      <c r="R204" s="321">
        <f>Données!R204</f>
        <v>-9785.5499999999993</v>
      </c>
      <c r="S204" s="313"/>
      <c r="T204" s="302">
        <f t="shared" si="18"/>
        <v>4738787.7603245554</v>
      </c>
      <c r="U204" s="322">
        <f t="shared" si="19"/>
        <v>317565.43333333335</v>
      </c>
      <c r="V204" s="322">
        <f t="shared" si="20"/>
        <v>21721.81</v>
      </c>
      <c r="W204" s="323">
        <f t="shared" si="21"/>
        <v>5078075.0036578886</v>
      </c>
      <c r="X204" s="302">
        <f t="shared" si="22"/>
        <v>3695.8333359955523</v>
      </c>
      <c r="Y204" s="324">
        <f t="shared" si="23"/>
        <v>1.1063995669672104</v>
      </c>
    </row>
    <row r="205" spans="1:25" x14ac:dyDescent="0.25">
      <c r="A205" s="148">
        <f>Données!A205</f>
        <v>5732</v>
      </c>
      <c r="B205" s="156" t="str">
        <f>Données!B205</f>
        <v>Vich</v>
      </c>
      <c r="C205" s="318">
        <f>Données!C205</f>
        <v>1179</v>
      </c>
      <c r="D205" s="319">
        <f>Données!D205</f>
        <v>63</v>
      </c>
      <c r="E205" s="320">
        <f>Données!E205</f>
        <v>1</v>
      </c>
      <c r="F205" s="321">
        <f>Données!F205</f>
        <v>3545098.19</v>
      </c>
      <c r="G205" s="321">
        <f>Données!G205</f>
        <v>909433.86</v>
      </c>
      <c r="H205" s="321">
        <f>Données!H205</f>
        <v>147940.95000000001</v>
      </c>
      <c r="I205" s="321">
        <f>Données!I205</f>
        <v>6178.15</v>
      </c>
      <c r="J205" s="321">
        <f>Données!J205</f>
        <v>143917.35</v>
      </c>
      <c r="K205" s="321">
        <f>Données!K205</f>
        <v>1713.67</v>
      </c>
      <c r="L205" s="321">
        <f>Données!L205</f>
        <v>-2691.49</v>
      </c>
      <c r="M205" s="321">
        <f>Données!M205</f>
        <v>-300</v>
      </c>
      <c r="N205" s="321">
        <f>Données!N205</f>
        <v>15214.52072505847</v>
      </c>
      <c r="O205" s="321">
        <f>Données!O205</f>
        <v>401240.65</v>
      </c>
      <c r="P205" s="321">
        <f>Données!P205</f>
        <v>100208.98</v>
      </c>
      <c r="Q205" s="321">
        <f>Données!Q205</f>
        <v>26159.25</v>
      </c>
      <c r="R205" s="321">
        <f>Données!R205</f>
        <v>-6606.4</v>
      </c>
      <c r="S205" s="313"/>
      <c r="T205" s="302">
        <f t="shared" si="18"/>
        <v>5105750.1433205418</v>
      </c>
      <c r="U205" s="322">
        <f t="shared" si="19"/>
        <v>401240.65</v>
      </c>
      <c r="V205" s="322">
        <f t="shared" si="20"/>
        <v>119761.83</v>
      </c>
      <c r="W205" s="323">
        <f t="shared" si="21"/>
        <v>5626752.6233205423</v>
      </c>
      <c r="X205" s="302">
        <f t="shared" si="22"/>
        <v>4772.4789001870586</v>
      </c>
      <c r="Y205" s="324">
        <f t="shared" si="23"/>
        <v>1.428708523487777</v>
      </c>
    </row>
    <row r="206" spans="1:25" x14ac:dyDescent="0.25">
      <c r="A206" s="148">
        <f>Données!A206</f>
        <v>5741</v>
      </c>
      <c r="B206" s="156" t="str">
        <f>Données!B206</f>
        <v>L'Abergement</v>
      </c>
      <c r="C206" s="318">
        <f>Données!C206</f>
        <v>270</v>
      </c>
      <c r="D206" s="319">
        <f>Données!D206</f>
        <v>80</v>
      </c>
      <c r="E206" s="320">
        <f>Données!E206</f>
        <v>1.2</v>
      </c>
      <c r="F206" s="321">
        <f>Données!F206</f>
        <v>486548.73</v>
      </c>
      <c r="G206" s="321">
        <f>Données!G206</f>
        <v>97963.199999999997</v>
      </c>
      <c r="H206" s="321">
        <f>Données!H206</f>
        <v>-4141.3</v>
      </c>
      <c r="I206" s="321">
        <f>Données!I206</f>
        <v>1011.45</v>
      </c>
      <c r="J206" s="321">
        <f>Données!J206</f>
        <v>0</v>
      </c>
      <c r="K206" s="321">
        <f>Données!K206</f>
        <v>20297.96</v>
      </c>
      <c r="L206" s="321">
        <f>Données!L206</f>
        <v>-329.47</v>
      </c>
      <c r="M206" s="321">
        <f>Données!M206</f>
        <v>0</v>
      </c>
      <c r="N206" s="321">
        <f>Données!N206</f>
        <v>-308.97641947898904</v>
      </c>
      <c r="O206" s="321">
        <f>Données!O206</f>
        <v>54323.55</v>
      </c>
      <c r="P206" s="321">
        <f>Données!P206</f>
        <v>-1377.66</v>
      </c>
      <c r="Q206" s="321">
        <f>Données!Q206</f>
        <v>0</v>
      </c>
      <c r="R206" s="321">
        <f>Données!R206</f>
        <v>0</v>
      </c>
      <c r="S206" s="313"/>
      <c r="T206" s="302">
        <f t="shared" si="18"/>
        <v>507007.72531468206</v>
      </c>
      <c r="U206" s="322">
        <f t="shared" si="19"/>
        <v>45269.625000000007</v>
      </c>
      <c r="V206" s="322">
        <f t="shared" si="20"/>
        <v>-1377.66</v>
      </c>
      <c r="W206" s="323">
        <f t="shared" si="21"/>
        <v>550899.69031468208</v>
      </c>
      <c r="X206" s="302">
        <f t="shared" si="22"/>
        <v>2040.3692233877114</v>
      </c>
      <c r="Y206" s="324">
        <f t="shared" si="23"/>
        <v>0.61081315632467259</v>
      </c>
    </row>
    <row r="207" spans="1:25" x14ac:dyDescent="0.25">
      <c r="A207" s="148">
        <f>Données!A207</f>
        <v>5742</v>
      </c>
      <c r="B207" s="156" t="str">
        <f>Données!B207</f>
        <v>Agiez</v>
      </c>
      <c r="C207" s="318">
        <f>Données!C207</f>
        <v>373</v>
      </c>
      <c r="D207" s="319">
        <f>Données!D207</f>
        <v>76</v>
      </c>
      <c r="E207" s="320">
        <f>Données!E207</f>
        <v>0.5</v>
      </c>
      <c r="F207" s="321">
        <f>Données!F207</f>
        <v>604736.23</v>
      </c>
      <c r="G207" s="321">
        <f>Données!G207</f>
        <v>55029.14</v>
      </c>
      <c r="H207" s="321">
        <f>Données!H207</f>
        <v>712.75</v>
      </c>
      <c r="I207" s="321">
        <f>Données!I207</f>
        <v>575.4</v>
      </c>
      <c r="J207" s="321">
        <f>Données!J207</f>
        <v>0</v>
      </c>
      <c r="K207" s="321">
        <f>Données!K207</f>
        <v>6902.44</v>
      </c>
      <c r="L207" s="321">
        <f>Données!L207</f>
        <v>-6745.4</v>
      </c>
      <c r="M207" s="321">
        <f>Données!M207</f>
        <v>0</v>
      </c>
      <c r="N207" s="321">
        <f>Données!N207</f>
        <v>127.16519154331986</v>
      </c>
      <c r="O207" s="321">
        <f>Données!O207</f>
        <v>30243.35</v>
      </c>
      <c r="P207" s="321">
        <f>Données!P207</f>
        <v>6380</v>
      </c>
      <c r="Q207" s="321">
        <f>Données!Q207</f>
        <v>1672.3</v>
      </c>
      <c r="R207" s="321">
        <f>Données!R207</f>
        <v>0</v>
      </c>
      <c r="S207" s="313"/>
      <c r="T207" s="302">
        <f t="shared" si="18"/>
        <v>587232.03763072263</v>
      </c>
      <c r="U207" s="322">
        <f t="shared" si="19"/>
        <v>60486.7</v>
      </c>
      <c r="V207" s="322">
        <f t="shared" si="20"/>
        <v>8052.3</v>
      </c>
      <c r="W207" s="323">
        <f t="shared" si="21"/>
        <v>655771.03763072263</v>
      </c>
      <c r="X207" s="302">
        <f t="shared" si="22"/>
        <v>1758.0992965971116</v>
      </c>
      <c r="Y207" s="324">
        <f t="shared" si="23"/>
        <v>0.52631169308840886</v>
      </c>
    </row>
    <row r="208" spans="1:25" x14ac:dyDescent="0.25">
      <c r="A208" s="148">
        <f>Données!A208</f>
        <v>5743</v>
      </c>
      <c r="B208" s="156" t="str">
        <f>Données!B208</f>
        <v>Arnex-sur-Orbe</v>
      </c>
      <c r="C208" s="318">
        <f>Données!C208</f>
        <v>697</v>
      </c>
      <c r="D208" s="319">
        <f>Données!D208</f>
        <v>71</v>
      </c>
      <c r="E208" s="320">
        <f>Données!E208</f>
        <v>0.8</v>
      </c>
      <c r="F208" s="321">
        <f>Données!F208</f>
        <v>1124616.8500000001</v>
      </c>
      <c r="G208" s="321">
        <f>Données!G208</f>
        <v>146863.74</v>
      </c>
      <c r="H208" s="321">
        <f>Données!H208</f>
        <v>14770.85</v>
      </c>
      <c r="I208" s="321">
        <f>Données!I208</f>
        <v>697.8</v>
      </c>
      <c r="J208" s="321">
        <f>Données!J208</f>
        <v>0</v>
      </c>
      <c r="K208" s="321">
        <f>Données!K208</f>
        <v>5990.31</v>
      </c>
      <c r="L208" s="321">
        <f>Données!L208</f>
        <v>-15106.62</v>
      </c>
      <c r="M208" s="321">
        <f>Données!M208</f>
        <v>0</v>
      </c>
      <c r="N208" s="321">
        <f>Données!N208</f>
        <v>1527.0534022952099</v>
      </c>
      <c r="O208" s="321">
        <f>Données!O208</f>
        <v>82302.899999999994</v>
      </c>
      <c r="P208" s="321">
        <f>Données!P208</f>
        <v>10919.29</v>
      </c>
      <c r="Q208" s="321">
        <f>Données!Q208</f>
        <v>0</v>
      </c>
      <c r="R208" s="321">
        <f>Données!R208</f>
        <v>-330.45</v>
      </c>
      <c r="S208" s="313"/>
      <c r="T208" s="302">
        <f t="shared" si="18"/>
        <v>1216002.4506777229</v>
      </c>
      <c r="U208" s="322">
        <f t="shared" si="19"/>
        <v>102878.62499999999</v>
      </c>
      <c r="V208" s="322">
        <f t="shared" si="20"/>
        <v>10588.84</v>
      </c>
      <c r="W208" s="323">
        <f t="shared" si="21"/>
        <v>1329469.915677723</v>
      </c>
      <c r="X208" s="302">
        <f t="shared" si="22"/>
        <v>1907.4173826079241</v>
      </c>
      <c r="Y208" s="324">
        <f t="shared" si="23"/>
        <v>0.57101215728242916</v>
      </c>
    </row>
    <row r="209" spans="1:25" x14ac:dyDescent="0.25">
      <c r="A209" s="148">
        <f>Données!A209</f>
        <v>5744</v>
      </c>
      <c r="B209" s="156" t="str">
        <f>Données!B209</f>
        <v>Ballaigues</v>
      </c>
      <c r="C209" s="318">
        <f>Données!C209</f>
        <v>1209</v>
      </c>
      <c r="D209" s="319">
        <f>Données!D209</f>
        <v>65</v>
      </c>
      <c r="E209" s="320">
        <f>Données!E209</f>
        <v>1</v>
      </c>
      <c r="F209" s="321">
        <f>Données!F209</f>
        <v>1506484.29</v>
      </c>
      <c r="G209" s="321">
        <f>Données!G209</f>
        <v>201325.09</v>
      </c>
      <c r="H209" s="321">
        <f>Données!H209</f>
        <v>1671618.75</v>
      </c>
      <c r="I209" s="321">
        <f>Données!I209</f>
        <v>7030.6</v>
      </c>
      <c r="J209" s="321">
        <f>Données!J209</f>
        <v>0</v>
      </c>
      <c r="K209" s="321">
        <f>Données!K209</f>
        <v>3443.3</v>
      </c>
      <c r="L209" s="321">
        <f>Données!L209</f>
        <v>-34368.97</v>
      </c>
      <c r="M209" s="321">
        <f>Données!M209</f>
        <v>0</v>
      </c>
      <c r="N209" s="321">
        <f>Données!N209</f>
        <v>165714.99136499583</v>
      </c>
      <c r="O209" s="321">
        <f>Données!O209</f>
        <v>201237.1</v>
      </c>
      <c r="P209" s="321">
        <f>Données!P209</f>
        <v>114585.76</v>
      </c>
      <c r="Q209" s="321">
        <f>Données!Q209</f>
        <v>0</v>
      </c>
      <c r="R209" s="321">
        <f>Données!R209</f>
        <v>-1013.6</v>
      </c>
      <c r="S209" s="313"/>
      <c r="T209" s="302">
        <f t="shared" si="18"/>
        <v>3655807.33151737</v>
      </c>
      <c r="U209" s="322">
        <f t="shared" si="19"/>
        <v>201237.1</v>
      </c>
      <c r="V209" s="322">
        <f t="shared" si="20"/>
        <v>113572.15999999999</v>
      </c>
      <c r="W209" s="323">
        <f t="shared" si="21"/>
        <v>3970616.5915173702</v>
      </c>
      <c r="X209" s="302">
        <f t="shared" si="22"/>
        <v>3284.21554302512</v>
      </c>
      <c r="Y209" s="324">
        <f t="shared" si="23"/>
        <v>0.98317600505412717</v>
      </c>
    </row>
    <row r="210" spans="1:25" x14ac:dyDescent="0.25">
      <c r="A210" s="148">
        <f>Données!A210</f>
        <v>5745</v>
      </c>
      <c r="B210" s="156" t="str">
        <f>Données!B210</f>
        <v>Baulmes</v>
      </c>
      <c r="C210" s="318">
        <f>Données!C210</f>
        <v>1168</v>
      </c>
      <c r="D210" s="319">
        <f>Données!D210</f>
        <v>76.5</v>
      </c>
      <c r="E210" s="320">
        <f>Données!E210</f>
        <v>1</v>
      </c>
      <c r="F210" s="321">
        <f>Données!F210</f>
        <v>1822857.97</v>
      </c>
      <c r="G210" s="321">
        <f>Données!G210</f>
        <v>239530.63</v>
      </c>
      <c r="H210" s="321">
        <f>Données!H210</f>
        <v>48808.75</v>
      </c>
      <c r="I210" s="321">
        <f>Données!I210</f>
        <v>3163.75</v>
      </c>
      <c r="J210" s="321">
        <f>Données!J210</f>
        <v>0</v>
      </c>
      <c r="K210" s="321">
        <f>Données!K210</f>
        <v>17659.25</v>
      </c>
      <c r="L210" s="321">
        <f>Données!L210</f>
        <v>-42261.5</v>
      </c>
      <c r="M210" s="321">
        <f>Données!M210</f>
        <v>0</v>
      </c>
      <c r="N210" s="321">
        <f>Données!N210</f>
        <v>5130.685803272283</v>
      </c>
      <c r="O210" s="321">
        <f>Données!O210</f>
        <v>164149.65</v>
      </c>
      <c r="P210" s="321">
        <f>Données!P210</f>
        <v>3018.82</v>
      </c>
      <c r="Q210" s="321">
        <f>Données!Q210</f>
        <v>0</v>
      </c>
      <c r="R210" s="321">
        <f>Données!R210</f>
        <v>0</v>
      </c>
      <c r="S210" s="313"/>
      <c r="T210" s="302">
        <f t="shared" si="18"/>
        <v>1847990.4762061106</v>
      </c>
      <c r="U210" s="322">
        <f t="shared" si="19"/>
        <v>164149.65</v>
      </c>
      <c r="V210" s="322">
        <f t="shared" si="20"/>
        <v>3018.82</v>
      </c>
      <c r="W210" s="323">
        <f t="shared" si="21"/>
        <v>2015158.9462061105</v>
      </c>
      <c r="X210" s="302">
        <f t="shared" si="22"/>
        <v>1725.3073169572865</v>
      </c>
      <c r="Y210" s="324">
        <f t="shared" si="23"/>
        <v>0.51649495386476996</v>
      </c>
    </row>
    <row r="211" spans="1:25" x14ac:dyDescent="0.25">
      <c r="A211" s="148">
        <f>Données!A211</f>
        <v>5746</v>
      </c>
      <c r="B211" s="156" t="str">
        <f>Données!B211</f>
        <v>Bavois</v>
      </c>
      <c r="C211" s="318">
        <f>Données!C211</f>
        <v>1041</v>
      </c>
      <c r="D211" s="319">
        <f>Données!D211</f>
        <v>72</v>
      </c>
      <c r="E211" s="320">
        <f>Données!E211</f>
        <v>1.2</v>
      </c>
      <c r="F211" s="321">
        <f>Données!F211</f>
        <v>2153007.5099999998</v>
      </c>
      <c r="G211" s="321">
        <f>Données!G211</f>
        <v>217945</v>
      </c>
      <c r="H211" s="321">
        <f>Données!H211</f>
        <v>42099.15</v>
      </c>
      <c r="I211" s="321">
        <f>Données!I211</f>
        <v>3962</v>
      </c>
      <c r="J211" s="321">
        <f>Données!J211</f>
        <v>0</v>
      </c>
      <c r="K211" s="321">
        <f>Données!K211</f>
        <v>0</v>
      </c>
      <c r="L211" s="321">
        <f>Données!L211</f>
        <v>-5210.66</v>
      </c>
      <c r="M211" s="321">
        <f>Données!M211</f>
        <v>-29</v>
      </c>
      <c r="N211" s="321">
        <f>Données!N211</f>
        <v>4547.1218122544642</v>
      </c>
      <c r="O211" s="321">
        <f>Données!O211</f>
        <v>249981.95</v>
      </c>
      <c r="P211" s="321">
        <f>Données!P211</f>
        <v>29360.47</v>
      </c>
      <c r="Q211" s="321">
        <f>Données!Q211</f>
        <v>20256.3</v>
      </c>
      <c r="R211" s="321">
        <f>Données!R211</f>
        <v>-849.55</v>
      </c>
      <c r="S211" s="313"/>
      <c r="T211" s="302">
        <f t="shared" si="18"/>
        <v>2264760.0223134374</v>
      </c>
      <c r="U211" s="322">
        <f t="shared" si="19"/>
        <v>208318.29166666669</v>
      </c>
      <c r="V211" s="322">
        <f t="shared" si="20"/>
        <v>48767.22</v>
      </c>
      <c r="W211" s="323">
        <f t="shared" si="21"/>
        <v>2521845.5339801041</v>
      </c>
      <c r="X211" s="302">
        <f t="shared" si="22"/>
        <v>2422.5221267820407</v>
      </c>
      <c r="Y211" s="324">
        <f t="shared" si="23"/>
        <v>0.72521599010853255</v>
      </c>
    </row>
    <row r="212" spans="1:25" x14ac:dyDescent="0.25">
      <c r="A212" s="148">
        <f>Données!A212</f>
        <v>5747</v>
      </c>
      <c r="B212" s="156" t="str">
        <f>Données!B212</f>
        <v>Bofflens</v>
      </c>
      <c r="C212" s="318">
        <f>Données!C212</f>
        <v>200</v>
      </c>
      <c r="D212" s="319">
        <f>Données!D212</f>
        <v>69</v>
      </c>
      <c r="E212" s="320">
        <f>Données!E212</f>
        <v>1</v>
      </c>
      <c r="F212" s="321">
        <f>Données!F212</f>
        <v>344949.72</v>
      </c>
      <c r="G212" s="321">
        <f>Données!G212</f>
        <v>39789.56</v>
      </c>
      <c r="H212" s="321">
        <f>Données!H212</f>
        <v>89543.95</v>
      </c>
      <c r="I212" s="321">
        <f>Données!I212</f>
        <v>565.04999999999995</v>
      </c>
      <c r="J212" s="321">
        <f>Données!J212</f>
        <v>0</v>
      </c>
      <c r="K212" s="321">
        <f>Données!K212</f>
        <v>0</v>
      </c>
      <c r="L212" s="321">
        <f>Données!L212</f>
        <v>-465.32</v>
      </c>
      <c r="M212" s="321">
        <f>Données!M212</f>
        <v>0</v>
      </c>
      <c r="N212" s="321">
        <f>Données!N212</f>
        <v>8895.4921746512518</v>
      </c>
      <c r="O212" s="321">
        <f>Données!O212</f>
        <v>35978.300000000003</v>
      </c>
      <c r="P212" s="321">
        <f>Données!P212</f>
        <v>-822.87</v>
      </c>
      <c r="Q212" s="321">
        <f>Données!Q212</f>
        <v>0</v>
      </c>
      <c r="R212" s="321">
        <f>Données!R212</f>
        <v>-11.7</v>
      </c>
      <c r="S212" s="313"/>
      <c r="T212" s="302">
        <f t="shared" si="18"/>
        <v>472659.48506183922</v>
      </c>
      <c r="U212" s="322">
        <f t="shared" si="19"/>
        <v>35978.300000000003</v>
      </c>
      <c r="V212" s="322">
        <f t="shared" si="20"/>
        <v>-834.57</v>
      </c>
      <c r="W212" s="323">
        <f t="shared" si="21"/>
        <v>507803.2150618392</v>
      </c>
      <c r="X212" s="302">
        <f t="shared" si="22"/>
        <v>2539.0160753091959</v>
      </c>
      <c r="Y212" s="324">
        <f t="shared" si="23"/>
        <v>0.76009008817714208</v>
      </c>
    </row>
    <row r="213" spans="1:25" x14ac:dyDescent="0.25">
      <c r="A213" s="148">
        <f>Données!A213</f>
        <v>5748</v>
      </c>
      <c r="B213" s="156" t="str">
        <f>Données!B213</f>
        <v>Bretonnières</v>
      </c>
      <c r="C213" s="318">
        <f>Données!C213</f>
        <v>261</v>
      </c>
      <c r="D213" s="319">
        <f>Données!D213</f>
        <v>70.5</v>
      </c>
      <c r="E213" s="320">
        <f>Données!E213</f>
        <v>0.6</v>
      </c>
      <c r="F213" s="321">
        <f>Données!F213</f>
        <v>387704.52</v>
      </c>
      <c r="G213" s="321">
        <f>Données!G213</f>
        <v>51446.38</v>
      </c>
      <c r="H213" s="321">
        <f>Données!H213</f>
        <v>661.6</v>
      </c>
      <c r="I213" s="321">
        <f>Données!I213</f>
        <v>466.95</v>
      </c>
      <c r="J213" s="321">
        <f>Données!J213</f>
        <v>0</v>
      </c>
      <c r="K213" s="321">
        <f>Données!K213</f>
        <v>0</v>
      </c>
      <c r="L213" s="321">
        <f>Données!L213</f>
        <v>-287.47000000000003</v>
      </c>
      <c r="M213" s="321">
        <f>Données!M213</f>
        <v>0</v>
      </c>
      <c r="N213" s="321">
        <f>Données!N213</f>
        <v>111.40960052494944</v>
      </c>
      <c r="O213" s="321">
        <f>Données!O213</f>
        <v>24766.65</v>
      </c>
      <c r="P213" s="321">
        <f>Données!P213</f>
        <v>1848.5</v>
      </c>
      <c r="Q213" s="321">
        <f>Données!Q213</f>
        <v>0</v>
      </c>
      <c r="R213" s="321">
        <f>Données!R213</f>
        <v>0</v>
      </c>
      <c r="S213" s="313"/>
      <c r="T213" s="302">
        <f t="shared" si="18"/>
        <v>421274.94725490501</v>
      </c>
      <c r="U213" s="322">
        <f t="shared" si="19"/>
        <v>41277.750000000007</v>
      </c>
      <c r="V213" s="322">
        <f t="shared" si="20"/>
        <v>1848.5</v>
      </c>
      <c r="W213" s="323">
        <f t="shared" si="21"/>
        <v>464401.19725490501</v>
      </c>
      <c r="X213" s="302">
        <f t="shared" si="22"/>
        <v>1779.3149320111304</v>
      </c>
      <c r="Y213" s="324">
        <f t="shared" si="23"/>
        <v>0.53266289123535715</v>
      </c>
    </row>
    <row r="214" spans="1:25" x14ac:dyDescent="0.25">
      <c r="A214" s="148">
        <f>Données!A214</f>
        <v>5749</v>
      </c>
      <c r="B214" s="156" t="str">
        <f>Données!B214</f>
        <v>Chavornay</v>
      </c>
      <c r="C214" s="318">
        <f>Données!C214</f>
        <v>5442</v>
      </c>
      <c r="D214" s="319">
        <f>Données!D214</f>
        <v>70.5</v>
      </c>
      <c r="E214" s="320">
        <f>Données!E214</f>
        <v>1</v>
      </c>
      <c r="F214" s="321">
        <f>Données!F214</f>
        <v>8610030.1899999995</v>
      </c>
      <c r="G214" s="321">
        <f>Données!G214</f>
        <v>960232.72</v>
      </c>
      <c r="H214" s="321">
        <f>Données!H214</f>
        <v>264853.75</v>
      </c>
      <c r="I214" s="321">
        <f>Données!I214</f>
        <v>53432.1</v>
      </c>
      <c r="J214" s="321">
        <f>Données!J214</f>
        <v>0</v>
      </c>
      <c r="K214" s="321">
        <f>Données!K214</f>
        <v>59902.16</v>
      </c>
      <c r="L214" s="321">
        <f>Données!L214</f>
        <v>-286353.61</v>
      </c>
      <c r="M214" s="321">
        <f>Données!M214</f>
        <v>-450</v>
      </c>
      <c r="N214" s="321">
        <f>Données!N214</f>
        <v>31420.937841694191</v>
      </c>
      <c r="O214" s="321">
        <f>Données!O214</f>
        <v>920782.9</v>
      </c>
      <c r="P214" s="321">
        <f>Données!P214</f>
        <v>287525.40999999997</v>
      </c>
      <c r="Q214" s="321">
        <f>Données!Q214</f>
        <v>92824.45</v>
      </c>
      <c r="R214" s="321">
        <f>Données!R214</f>
        <v>-1123.07</v>
      </c>
      <c r="S214" s="313"/>
      <c r="T214" s="302">
        <f t="shared" si="18"/>
        <v>9278380.7426572796</v>
      </c>
      <c r="U214" s="322">
        <f t="shared" si="19"/>
        <v>920782.9</v>
      </c>
      <c r="V214" s="322">
        <f t="shared" si="20"/>
        <v>379226.79</v>
      </c>
      <c r="W214" s="323">
        <f t="shared" si="21"/>
        <v>10578390.432657279</v>
      </c>
      <c r="X214" s="302">
        <f t="shared" si="22"/>
        <v>1943.8424168793235</v>
      </c>
      <c r="Y214" s="324">
        <f t="shared" si="23"/>
        <v>0.58191650238699166</v>
      </c>
    </row>
    <row r="215" spans="1:25" x14ac:dyDescent="0.25">
      <c r="A215" s="148">
        <f>Données!A215</f>
        <v>5750</v>
      </c>
      <c r="B215" s="156" t="str">
        <f>Données!B215</f>
        <v>Les Clées</v>
      </c>
      <c r="C215" s="318">
        <f>Données!C215</f>
        <v>194</v>
      </c>
      <c r="D215" s="319">
        <f>Données!D215</f>
        <v>80</v>
      </c>
      <c r="E215" s="320">
        <f>Données!E215</f>
        <v>0.6</v>
      </c>
      <c r="F215" s="321">
        <f>Données!F215</f>
        <v>407245.19</v>
      </c>
      <c r="G215" s="321">
        <f>Données!G215</f>
        <v>64759.56</v>
      </c>
      <c r="H215" s="321">
        <f>Données!H215</f>
        <v>241.35</v>
      </c>
      <c r="I215" s="321">
        <f>Données!I215</f>
        <v>44.6</v>
      </c>
      <c r="J215" s="321">
        <f>Données!J215</f>
        <v>0</v>
      </c>
      <c r="K215" s="321">
        <f>Données!K215</f>
        <v>18010.71</v>
      </c>
      <c r="L215" s="321">
        <f>Données!L215</f>
        <v>-23215.57</v>
      </c>
      <c r="M215" s="321">
        <f>Données!M215</f>
        <v>0</v>
      </c>
      <c r="N215" s="321">
        <f>Données!N215</f>
        <v>28.228767241246992</v>
      </c>
      <c r="O215" s="321">
        <f>Données!O215</f>
        <v>14646.6</v>
      </c>
      <c r="P215" s="321">
        <f>Données!P215</f>
        <v>70.900000000000006</v>
      </c>
      <c r="Q215" s="321">
        <f>Données!Q215</f>
        <v>4.4000000000000004</v>
      </c>
      <c r="R215" s="321">
        <f>Données!R215</f>
        <v>-471.25</v>
      </c>
      <c r="S215" s="313"/>
      <c r="T215" s="302">
        <f t="shared" si="18"/>
        <v>394033.36474156514</v>
      </c>
      <c r="U215" s="322">
        <f t="shared" si="19"/>
        <v>24411</v>
      </c>
      <c r="V215" s="322">
        <f t="shared" si="20"/>
        <v>-395.95</v>
      </c>
      <c r="W215" s="323">
        <f t="shared" si="21"/>
        <v>418048.41474156512</v>
      </c>
      <c r="X215" s="302">
        <f t="shared" si="22"/>
        <v>2154.8887357812637</v>
      </c>
      <c r="Y215" s="324">
        <f t="shared" si="23"/>
        <v>0.64509617923252016</v>
      </c>
    </row>
    <row r="216" spans="1:25" x14ac:dyDescent="0.25">
      <c r="A216" s="148">
        <f>Données!A216</f>
        <v>5752</v>
      </c>
      <c r="B216" s="156" t="str">
        <f>Données!B216</f>
        <v>Croy</v>
      </c>
      <c r="C216" s="318">
        <f>Données!C216</f>
        <v>403</v>
      </c>
      <c r="D216" s="319">
        <f>Données!D216</f>
        <v>74</v>
      </c>
      <c r="E216" s="320">
        <f>Données!E216</f>
        <v>0.7</v>
      </c>
      <c r="F216" s="321">
        <f>Données!F216</f>
        <v>584516.81999999995</v>
      </c>
      <c r="G216" s="321">
        <f>Données!G216</f>
        <v>119742.45</v>
      </c>
      <c r="H216" s="321">
        <f>Données!H216</f>
        <v>1164.8</v>
      </c>
      <c r="I216" s="321">
        <f>Données!I216</f>
        <v>1508.75</v>
      </c>
      <c r="J216" s="321">
        <f>Données!J216</f>
        <v>0</v>
      </c>
      <c r="K216" s="321">
        <f>Données!K216</f>
        <v>2411.79</v>
      </c>
      <c r="L216" s="321">
        <f>Données!L216</f>
        <v>-2366.36</v>
      </c>
      <c r="M216" s="321">
        <f>Données!M216</f>
        <v>0</v>
      </c>
      <c r="N216" s="321">
        <f>Données!N216</f>
        <v>263.9308293681969</v>
      </c>
      <c r="O216" s="321">
        <f>Données!O216</f>
        <v>44989.1</v>
      </c>
      <c r="P216" s="321">
        <f>Données!P216</f>
        <v>8943.2099999999991</v>
      </c>
      <c r="Q216" s="321">
        <f>Données!Q216</f>
        <v>1379.4</v>
      </c>
      <c r="R216" s="321">
        <f>Données!R216</f>
        <v>-27.65</v>
      </c>
      <c r="S216" s="313"/>
      <c r="T216" s="302">
        <f t="shared" si="18"/>
        <v>644965.48078789224</v>
      </c>
      <c r="U216" s="322">
        <f t="shared" si="19"/>
        <v>64270.142857142862</v>
      </c>
      <c r="V216" s="322">
        <f t="shared" si="20"/>
        <v>10294.959999999999</v>
      </c>
      <c r="W216" s="323">
        <f t="shared" si="21"/>
        <v>719530.58364503505</v>
      </c>
      <c r="X216" s="302">
        <f t="shared" si="22"/>
        <v>1785.435691426886</v>
      </c>
      <c r="Y216" s="324">
        <f t="shared" si="23"/>
        <v>0.53449522644948777</v>
      </c>
    </row>
    <row r="217" spans="1:25" x14ac:dyDescent="0.25">
      <c r="A217" s="148">
        <f>Données!A217</f>
        <v>5754</v>
      </c>
      <c r="B217" s="156" t="str">
        <f>Données!B217</f>
        <v>Juriens</v>
      </c>
      <c r="C217" s="318">
        <f>Données!C217</f>
        <v>348</v>
      </c>
      <c r="D217" s="319">
        <f>Données!D217</f>
        <v>79</v>
      </c>
      <c r="E217" s="320">
        <f>Données!E217</f>
        <v>1</v>
      </c>
      <c r="F217" s="321">
        <f>Données!F217</f>
        <v>593779.30000000005</v>
      </c>
      <c r="G217" s="321">
        <f>Données!G217</f>
        <v>64780.11</v>
      </c>
      <c r="H217" s="321">
        <f>Données!H217</f>
        <v>904.7</v>
      </c>
      <c r="I217" s="321">
        <f>Données!I217</f>
        <v>1684.4</v>
      </c>
      <c r="J217" s="321">
        <f>Données!J217</f>
        <v>0</v>
      </c>
      <c r="K217" s="321">
        <f>Données!K217</f>
        <v>140.09</v>
      </c>
      <c r="L217" s="321">
        <f>Données!L217</f>
        <v>-10737.48</v>
      </c>
      <c r="M217" s="321">
        <f>Données!M217</f>
        <v>0</v>
      </c>
      <c r="N217" s="321">
        <f>Données!N217</f>
        <v>255.59398938385243</v>
      </c>
      <c r="O217" s="321">
        <f>Données!O217</f>
        <v>49461.8</v>
      </c>
      <c r="P217" s="321">
        <f>Données!P217</f>
        <v>5426.57</v>
      </c>
      <c r="Q217" s="321">
        <f>Données!Q217</f>
        <v>2096.5</v>
      </c>
      <c r="R217" s="321">
        <f>Données!R217</f>
        <v>-21.6</v>
      </c>
      <c r="S217" s="313"/>
      <c r="T217" s="302">
        <f t="shared" si="18"/>
        <v>555936.21996010887</v>
      </c>
      <c r="U217" s="322">
        <f t="shared" si="19"/>
        <v>49461.8</v>
      </c>
      <c r="V217" s="322">
        <f t="shared" si="20"/>
        <v>7501.4699999999993</v>
      </c>
      <c r="W217" s="323">
        <f t="shared" si="21"/>
        <v>612899.48996010888</v>
      </c>
      <c r="X217" s="302">
        <f t="shared" si="22"/>
        <v>1761.2054309198531</v>
      </c>
      <c r="Y217" s="324">
        <f t="shared" si="23"/>
        <v>0.52724155798143646</v>
      </c>
    </row>
    <row r="218" spans="1:25" x14ac:dyDescent="0.25">
      <c r="A218" s="148">
        <f>Données!A218</f>
        <v>5755</v>
      </c>
      <c r="B218" s="156" t="str">
        <f>Données!B218</f>
        <v>Lignerolle</v>
      </c>
      <c r="C218" s="318">
        <f>Données!C218</f>
        <v>463</v>
      </c>
      <c r="D218" s="319">
        <f>Données!D218</f>
        <v>78.5</v>
      </c>
      <c r="E218" s="320">
        <f>Données!E218</f>
        <v>0.7</v>
      </c>
      <c r="F218" s="321">
        <f>Données!F218</f>
        <v>659893.15</v>
      </c>
      <c r="G218" s="321">
        <f>Données!G218</f>
        <v>78698.570000000007</v>
      </c>
      <c r="H218" s="321">
        <f>Données!H218</f>
        <v>9222.1</v>
      </c>
      <c r="I218" s="321">
        <f>Données!I218</f>
        <v>938.7</v>
      </c>
      <c r="J218" s="321">
        <f>Données!J218</f>
        <v>0</v>
      </c>
      <c r="K218" s="321">
        <f>Données!K218</f>
        <v>0</v>
      </c>
      <c r="L218" s="321">
        <f>Données!L218</f>
        <v>-33869.65</v>
      </c>
      <c r="M218" s="321">
        <f>Données!M218</f>
        <v>0</v>
      </c>
      <c r="N218" s="321">
        <f>Données!N218</f>
        <v>1003.0664738061287</v>
      </c>
      <c r="O218" s="321">
        <f>Données!O218</f>
        <v>51663.05</v>
      </c>
      <c r="P218" s="321">
        <f>Données!P218</f>
        <v>19283.939999999999</v>
      </c>
      <c r="Q218" s="321">
        <f>Données!Q218</f>
        <v>4088.1</v>
      </c>
      <c r="R218" s="321">
        <f>Données!R218</f>
        <v>0</v>
      </c>
      <c r="S218" s="313"/>
      <c r="T218" s="302">
        <f t="shared" si="18"/>
        <v>615423.6909065214</v>
      </c>
      <c r="U218" s="322">
        <f t="shared" si="19"/>
        <v>73804.357142857145</v>
      </c>
      <c r="V218" s="322">
        <f t="shared" si="20"/>
        <v>23372.039999999997</v>
      </c>
      <c r="W218" s="323">
        <f t="shared" si="21"/>
        <v>712600.0880493786</v>
      </c>
      <c r="X218" s="302">
        <f t="shared" si="22"/>
        <v>1539.0930627416385</v>
      </c>
      <c r="Y218" s="324">
        <f t="shared" si="23"/>
        <v>0.46074910401252894</v>
      </c>
    </row>
    <row r="219" spans="1:25" x14ac:dyDescent="0.25">
      <c r="A219" s="148">
        <f>Données!A219</f>
        <v>5756</v>
      </c>
      <c r="B219" s="156" t="str">
        <f>Données!B219</f>
        <v>Montcherand</v>
      </c>
      <c r="C219" s="318">
        <f>Données!C219</f>
        <v>489</v>
      </c>
      <c r="D219" s="319">
        <f>Données!D219</f>
        <v>72</v>
      </c>
      <c r="E219" s="320">
        <f>Données!E219</f>
        <v>1</v>
      </c>
      <c r="F219" s="321">
        <f>Données!F219</f>
        <v>1014795.99</v>
      </c>
      <c r="G219" s="321">
        <f>Données!G219</f>
        <v>258914.65</v>
      </c>
      <c r="H219" s="321">
        <f>Données!H219</f>
        <v>-3111.6</v>
      </c>
      <c r="I219" s="321">
        <f>Données!I219</f>
        <v>521.25</v>
      </c>
      <c r="J219" s="321">
        <f>Données!J219</f>
        <v>0</v>
      </c>
      <c r="K219" s="321">
        <f>Données!K219</f>
        <v>0</v>
      </c>
      <c r="L219" s="321">
        <f>Données!L219</f>
        <v>-10693.65</v>
      </c>
      <c r="M219" s="321">
        <f>Données!M219</f>
        <v>0</v>
      </c>
      <c r="N219" s="321">
        <f>Données!N219</f>
        <v>-255.71738843631456</v>
      </c>
      <c r="O219" s="321">
        <f>Données!O219</f>
        <v>89302.2</v>
      </c>
      <c r="P219" s="321">
        <f>Données!P219</f>
        <v>3868.75</v>
      </c>
      <c r="Q219" s="321">
        <f>Données!Q219</f>
        <v>212.4</v>
      </c>
      <c r="R219" s="321">
        <f>Données!R219</f>
        <v>-2628.7</v>
      </c>
      <c r="S219" s="313"/>
      <c r="T219" s="302">
        <f t="shared" si="18"/>
        <v>1181128.079810851</v>
      </c>
      <c r="U219" s="322">
        <f t="shared" si="19"/>
        <v>89302.2</v>
      </c>
      <c r="V219" s="322">
        <f t="shared" si="20"/>
        <v>1452.4500000000003</v>
      </c>
      <c r="W219" s="323">
        <f t="shared" si="21"/>
        <v>1271882.7298108509</v>
      </c>
      <c r="X219" s="302">
        <f t="shared" si="22"/>
        <v>2600.9871775273027</v>
      </c>
      <c r="Y219" s="324">
        <f t="shared" si="23"/>
        <v>0.77864200716948617</v>
      </c>
    </row>
    <row r="220" spans="1:25" x14ac:dyDescent="0.25">
      <c r="A220" s="148">
        <f>Données!A220</f>
        <v>5757</v>
      </c>
      <c r="B220" s="156" t="str">
        <f>Données!B220</f>
        <v>Orbe</v>
      </c>
      <c r="C220" s="318">
        <f>Données!C220</f>
        <v>7962</v>
      </c>
      <c r="D220" s="319">
        <f>Données!D220</f>
        <v>75.5</v>
      </c>
      <c r="E220" s="320">
        <f>Données!E220</f>
        <v>1</v>
      </c>
      <c r="F220" s="321">
        <f>Données!F220</f>
        <v>12422373.59</v>
      </c>
      <c r="G220" s="321">
        <f>Données!G220</f>
        <v>1120095.77</v>
      </c>
      <c r="H220" s="321">
        <f>Données!H220</f>
        <v>1870234.65</v>
      </c>
      <c r="I220" s="321">
        <f>Données!I220</f>
        <v>136999.65</v>
      </c>
      <c r="J220" s="321">
        <f>Données!J220</f>
        <v>0</v>
      </c>
      <c r="K220" s="321">
        <f>Données!K220</f>
        <v>53153.03</v>
      </c>
      <c r="L220" s="321">
        <f>Données!L220</f>
        <v>-246923.51</v>
      </c>
      <c r="M220" s="321">
        <f>Données!M220</f>
        <v>-750</v>
      </c>
      <c r="N220" s="321">
        <f>Données!N220</f>
        <v>198152.64855166056</v>
      </c>
      <c r="O220" s="321">
        <f>Données!O220</f>
        <v>1546393.95</v>
      </c>
      <c r="P220" s="321">
        <f>Données!P220</f>
        <v>588455.31999999995</v>
      </c>
      <c r="Q220" s="321">
        <f>Données!Q220</f>
        <v>185686.35</v>
      </c>
      <c r="R220" s="321">
        <f>Données!R220</f>
        <v>-1890.3</v>
      </c>
      <c r="S220" s="313"/>
      <c r="T220" s="302">
        <f t="shared" si="18"/>
        <v>13901979.194957012</v>
      </c>
      <c r="U220" s="322">
        <f t="shared" si="19"/>
        <v>1546393.95</v>
      </c>
      <c r="V220" s="322">
        <f t="shared" si="20"/>
        <v>772251.36999999988</v>
      </c>
      <c r="W220" s="323">
        <f t="shared" si="21"/>
        <v>16220624.514957011</v>
      </c>
      <c r="X220" s="302">
        <f t="shared" si="22"/>
        <v>2037.2550257419005</v>
      </c>
      <c r="Y220" s="324">
        <f t="shared" si="23"/>
        <v>0.60988087756274423</v>
      </c>
    </row>
    <row r="221" spans="1:25" x14ac:dyDescent="0.25">
      <c r="A221" s="148">
        <f>Données!A221</f>
        <v>5758</v>
      </c>
      <c r="B221" s="156" t="str">
        <f>Données!B221</f>
        <v>La Praz</v>
      </c>
      <c r="C221" s="318">
        <f>Données!C221</f>
        <v>207</v>
      </c>
      <c r="D221" s="319">
        <f>Données!D221</f>
        <v>83</v>
      </c>
      <c r="E221" s="320">
        <f>Données!E221</f>
        <v>1</v>
      </c>
      <c r="F221" s="321">
        <f>Données!F221</f>
        <v>342184.82</v>
      </c>
      <c r="G221" s="321">
        <f>Données!G221</f>
        <v>67764.14</v>
      </c>
      <c r="H221" s="321">
        <f>Données!H221</f>
        <v>5037</v>
      </c>
      <c r="I221" s="321">
        <f>Données!I221</f>
        <v>1312.1</v>
      </c>
      <c r="J221" s="321">
        <f>Données!J221</f>
        <v>0</v>
      </c>
      <c r="K221" s="321">
        <f>Données!K221</f>
        <v>8404.0300000000007</v>
      </c>
      <c r="L221" s="321">
        <f>Données!L221</f>
        <v>-3404.55</v>
      </c>
      <c r="M221" s="321">
        <f>Données!M221</f>
        <v>0</v>
      </c>
      <c r="N221" s="321">
        <f>Données!N221</f>
        <v>626.77833919007276</v>
      </c>
      <c r="O221" s="321">
        <f>Données!O221</f>
        <v>34825.199999999997</v>
      </c>
      <c r="P221" s="321">
        <f>Données!P221</f>
        <v>32965.269999999997</v>
      </c>
      <c r="Q221" s="321">
        <f>Données!Q221</f>
        <v>0</v>
      </c>
      <c r="R221" s="321">
        <f>Données!R221</f>
        <v>-79.7</v>
      </c>
      <c r="S221" s="313"/>
      <c r="T221" s="302">
        <f t="shared" si="18"/>
        <v>343049.27157439518</v>
      </c>
      <c r="U221" s="322">
        <f t="shared" si="19"/>
        <v>34825.199999999997</v>
      </c>
      <c r="V221" s="322">
        <f t="shared" si="20"/>
        <v>32885.57</v>
      </c>
      <c r="W221" s="323">
        <f t="shared" si="21"/>
        <v>410760.0415743952</v>
      </c>
      <c r="X221" s="302">
        <f t="shared" si="22"/>
        <v>1984.3480269294455</v>
      </c>
      <c r="Y221" s="324">
        <f t="shared" si="23"/>
        <v>0.59404242510723948</v>
      </c>
    </row>
    <row r="222" spans="1:25" x14ac:dyDescent="0.25">
      <c r="A222" s="148">
        <f>Données!A222</f>
        <v>5759</v>
      </c>
      <c r="B222" s="156" t="str">
        <f>Données!B222</f>
        <v>Premier</v>
      </c>
      <c r="C222" s="318">
        <f>Données!C222</f>
        <v>228</v>
      </c>
      <c r="D222" s="319">
        <f>Données!D222</f>
        <v>79.5</v>
      </c>
      <c r="E222" s="320">
        <f>Données!E222</f>
        <v>1</v>
      </c>
      <c r="F222" s="321">
        <f>Données!F222</f>
        <v>322893.40999999997</v>
      </c>
      <c r="G222" s="321">
        <f>Données!G222</f>
        <v>51057.279999999999</v>
      </c>
      <c r="H222" s="321">
        <f>Données!H222</f>
        <v>3314.7</v>
      </c>
      <c r="I222" s="321">
        <f>Données!I222</f>
        <v>241.55</v>
      </c>
      <c r="J222" s="321">
        <f>Données!J222</f>
        <v>0</v>
      </c>
      <c r="K222" s="321">
        <f>Données!K222</f>
        <v>316.04000000000002</v>
      </c>
      <c r="L222" s="321">
        <f>Données!L222</f>
        <v>-1421.88</v>
      </c>
      <c r="M222" s="321">
        <f>Données!M222</f>
        <v>0</v>
      </c>
      <c r="N222" s="321">
        <f>Données!N222</f>
        <v>351.07030425488591</v>
      </c>
      <c r="O222" s="321">
        <f>Données!O222</f>
        <v>33890.699999999997</v>
      </c>
      <c r="P222" s="321">
        <f>Données!P222</f>
        <v>1506.32</v>
      </c>
      <c r="Q222" s="321">
        <f>Données!Q222</f>
        <v>289.45</v>
      </c>
      <c r="R222" s="321">
        <f>Données!R222</f>
        <v>-643.15</v>
      </c>
      <c r="S222" s="313"/>
      <c r="T222" s="302">
        <f t="shared" si="18"/>
        <v>319807.5192426056</v>
      </c>
      <c r="U222" s="322">
        <f t="shared" si="19"/>
        <v>33890.699999999997</v>
      </c>
      <c r="V222" s="322">
        <f t="shared" si="20"/>
        <v>1152.6199999999999</v>
      </c>
      <c r="W222" s="323">
        <f t="shared" si="21"/>
        <v>354850.83924260561</v>
      </c>
      <c r="X222" s="302">
        <f t="shared" si="22"/>
        <v>1556.3633300114282</v>
      </c>
      <c r="Y222" s="324">
        <f t="shared" si="23"/>
        <v>0.46591920084633437</v>
      </c>
    </row>
    <row r="223" spans="1:25" x14ac:dyDescent="0.25">
      <c r="A223" s="148">
        <f>Données!A223</f>
        <v>5760</v>
      </c>
      <c r="B223" s="156" t="str">
        <f>Données!B223</f>
        <v>Rances</v>
      </c>
      <c r="C223" s="318">
        <f>Données!C223</f>
        <v>508</v>
      </c>
      <c r="D223" s="319">
        <f>Données!D223</f>
        <v>76.5</v>
      </c>
      <c r="E223" s="320">
        <f>Données!E223</f>
        <v>1</v>
      </c>
      <c r="F223" s="321">
        <f>Données!F223</f>
        <v>868074.97</v>
      </c>
      <c r="G223" s="321">
        <f>Données!G223</f>
        <v>85672.08</v>
      </c>
      <c r="H223" s="321">
        <f>Données!H223</f>
        <v>20765.349999999999</v>
      </c>
      <c r="I223" s="321">
        <f>Données!I223</f>
        <v>1565.15</v>
      </c>
      <c r="J223" s="321">
        <f>Données!J223</f>
        <v>0</v>
      </c>
      <c r="K223" s="321">
        <f>Données!K223</f>
        <v>0</v>
      </c>
      <c r="L223" s="321">
        <f>Données!L223</f>
        <v>-6416.27</v>
      </c>
      <c r="M223" s="321">
        <f>Données!M223</f>
        <v>0</v>
      </c>
      <c r="N223" s="321">
        <f>Données!N223</f>
        <v>2204.4500328052668</v>
      </c>
      <c r="O223" s="321">
        <f>Données!O223</f>
        <v>86845.8</v>
      </c>
      <c r="P223" s="321">
        <f>Données!P223</f>
        <v>3765.66</v>
      </c>
      <c r="Q223" s="321">
        <f>Données!Q223</f>
        <v>0</v>
      </c>
      <c r="R223" s="321">
        <f>Données!R223</f>
        <v>-1895.85</v>
      </c>
      <c r="S223" s="313"/>
      <c r="T223" s="302">
        <f t="shared" si="18"/>
        <v>857323.77891851857</v>
      </c>
      <c r="U223" s="322">
        <f t="shared" si="19"/>
        <v>86845.8</v>
      </c>
      <c r="V223" s="322">
        <f t="shared" si="20"/>
        <v>1869.81</v>
      </c>
      <c r="W223" s="323">
        <f t="shared" si="21"/>
        <v>946039.38891851867</v>
      </c>
      <c r="X223" s="302">
        <f t="shared" si="22"/>
        <v>1862.2822616506273</v>
      </c>
      <c r="Y223" s="324">
        <f t="shared" si="23"/>
        <v>0.55750032551344764</v>
      </c>
    </row>
    <row r="224" spans="1:25" x14ac:dyDescent="0.25">
      <c r="A224" s="148">
        <f>Données!A224</f>
        <v>5761</v>
      </c>
      <c r="B224" s="156" t="str">
        <f>Données!B224</f>
        <v>Romainmôtier-Envy</v>
      </c>
      <c r="C224" s="318">
        <f>Données!C224</f>
        <v>560</v>
      </c>
      <c r="D224" s="319">
        <f>Données!D224</f>
        <v>81</v>
      </c>
      <c r="E224" s="320">
        <f>Données!E224</f>
        <v>1.1000000000000001</v>
      </c>
      <c r="F224" s="321">
        <f>Données!F224</f>
        <v>851461.41</v>
      </c>
      <c r="G224" s="321">
        <f>Données!G224</f>
        <v>132073.69</v>
      </c>
      <c r="H224" s="321">
        <f>Données!H224</f>
        <v>44950.45</v>
      </c>
      <c r="I224" s="321">
        <f>Données!I224</f>
        <v>1674.65</v>
      </c>
      <c r="J224" s="321">
        <f>Données!J224</f>
        <v>0</v>
      </c>
      <c r="K224" s="321">
        <f>Données!K224</f>
        <v>5067.54</v>
      </c>
      <c r="L224" s="321">
        <f>Données!L224</f>
        <v>-10718.36</v>
      </c>
      <c r="M224" s="321">
        <f>Données!M224</f>
        <v>0</v>
      </c>
      <c r="N224" s="321">
        <f>Données!N224</f>
        <v>4602.7945287632983</v>
      </c>
      <c r="O224" s="321">
        <f>Données!O224</f>
        <v>100850.95</v>
      </c>
      <c r="P224" s="321">
        <f>Données!P224</f>
        <v>17441.169999999998</v>
      </c>
      <c r="Q224" s="321">
        <f>Données!Q224</f>
        <v>5328.6</v>
      </c>
      <c r="R224" s="321">
        <f>Données!R224</f>
        <v>-85.45</v>
      </c>
      <c r="S224" s="313"/>
      <c r="T224" s="302">
        <f t="shared" si="18"/>
        <v>857388.65687070601</v>
      </c>
      <c r="U224" s="322">
        <f t="shared" si="19"/>
        <v>91682.681818181809</v>
      </c>
      <c r="V224" s="322">
        <f t="shared" si="20"/>
        <v>22684.319999999996</v>
      </c>
      <c r="W224" s="323">
        <f t="shared" si="21"/>
        <v>971755.65868888772</v>
      </c>
      <c r="X224" s="302">
        <f t="shared" si="22"/>
        <v>1735.2779619444423</v>
      </c>
      <c r="Y224" s="324">
        <f t="shared" si="23"/>
        <v>0.51947980634410973</v>
      </c>
    </row>
    <row r="225" spans="1:25" x14ac:dyDescent="0.25">
      <c r="A225" s="148">
        <f>Données!A225</f>
        <v>5762</v>
      </c>
      <c r="B225" s="156" t="str">
        <f>Données!B225</f>
        <v>Sergey</v>
      </c>
      <c r="C225" s="318">
        <f>Données!C225</f>
        <v>133</v>
      </c>
      <c r="D225" s="319">
        <f>Données!D225</f>
        <v>76</v>
      </c>
      <c r="E225" s="320">
        <f>Données!E225</f>
        <v>1</v>
      </c>
      <c r="F225" s="321">
        <f>Données!F225</f>
        <v>212528.45</v>
      </c>
      <c r="G225" s="321">
        <f>Données!G225</f>
        <v>24312.53</v>
      </c>
      <c r="H225" s="321">
        <f>Données!H225</f>
        <v>6952.25</v>
      </c>
      <c r="I225" s="321">
        <f>Données!I225</f>
        <v>302.8</v>
      </c>
      <c r="J225" s="321">
        <f>Données!J225</f>
        <v>0</v>
      </c>
      <c r="K225" s="321">
        <f>Données!K225</f>
        <v>129.84</v>
      </c>
      <c r="L225" s="321">
        <f>Données!L225</f>
        <v>-782.88</v>
      </c>
      <c r="M225" s="321">
        <f>Données!M225</f>
        <v>0</v>
      </c>
      <c r="N225" s="321">
        <f>Données!N225</f>
        <v>716.21303645255819</v>
      </c>
      <c r="O225" s="321">
        <f>Données!O225</f>
        <v>22298.65</v>
      </c>
      <c r="P225" s="321">
        <f>Données!P225</f>
        <v>829.97</v>
      </c>
      <c r="Q225" s="321">
        <f>Données!Q225</f>
        <v>52.5</v>
      </c>
      <c r="R225" s="321">
        <f>Données!R225</f>
        <v>0</v>
      </c>
      <c r="S225" s="313"/>
      <c r="T225" s="302">
        <f t="shared" si="18"/>
        <v>216800.13228318826</v>
      </c>
      <c r="U225" s="322">
        <f t="shared" si="19"/>
        <v>22298.65</v>
      </c>
      <c r="V225" s="322">
        <f t="shared" si="20"/>
        <v>882.47</v>
      </c>
      <c r="W225" s="323">
        <f t="shared" si="21"/>
        <v>239981.25228318825</v>
      </c>
      <c r="X225" s="302">
        <f t="shared" si="22"/>
        <v>1804.3703179187087</v>
      </c>
      <c r="Y225" s="324">
        <f t="shared" si="23"/>
        <v>0.54016357256975334</v>
      </c>
    </row>
    <row r="226" spans="1:25" x14ac:dyDescent="0.25">
      <c r="A226" s="148">
        <f>Données!A226</f>
        <v>5763</v>
      </c>
      <c r="B226" s="156" t="str">
        <f>Données!B226</f>
        <v>Valeyres-sous-Rances</v>
      </c>
      <c r="C226" s="318">
        <f>Données!C226</f>
        <v>583</v>
      </c>
      <c r="D226" s="319">
        <f>Données!D226</f>
        <v>71</v>
      </c>
      <c r="E226" s="320">
        <f>Données!E226</f>
        <v>1</v>
      </c>
      <c r="F226" s="321">
        <f>Données!F226</f>
        <v>1243052.42</v>
      </c>
      <c r="G226" s="321">
        <f>Données!G226</f>
        <v>170206.31</v>
      </c>
      <c r="H226" s="321">
        <f>Données!H226</f>
        <v>46805.599999999999</v>
      </c>
      <c r="I226" s="321">
        <f>Données!I226</f>
        <v>1058.5999999999999</v>
      </c>
      <c r="J226" s="321">
        <f>Données!J226</f>
        <v>0</v>
      </c>
      <c r="K226" s="321">
        <f>Données!K226</f>
        <v>2934.32</v>
      </c>
      <c r="L226" s="321">
        <f>Données!L226</f>
        <v>-5588.79</v>
      </c>
      <c r="M226" s="321">
        <f>Données!M226</f>
        <v>0</v>
      </c>
      <c r="N226" s="321">
        <f>Données!N226</f>
        <v>4725.1175414880026</v>
      </c>
      <c r="O226" s="321">
        <f>Données!O226</f>
        <v>95687.9</v>
      </c>
      <c r="P226" s="321">
        <f>Données!P226</f>
        <v>14880.67</v>
      </c>
      <c r="Q226" s="321">
        <f>Données!Q226</f>
        <v>-11906.85</v>
      </c>
      <c r="R226" s="321">
        <f>Données!R226</f>
        <v>-397.4</v>
      </c>
      <c r="S226" s="313"/>
      <c r="T226" s="302">
        <f t="shared" si="18"/>
        <v>1390732.0841587316</v>
      </c>
      <c r="U226" s="322">
        <f t="shared" si="19"/>
        <v>95687.9</v>
      </c>
      <c r="V226" s="322">
        <f t="shared" si="20"/>
        <v>2576.4199999999996</v>
      </c>
      <c r="W226" s="323">
        <f t="shared" si="21"/>
        <v>1488996.4041587315</v>
      </c>
      <c r="X226" s="302">
        <f t="shared" si="22"/>
        <v>2554.0247069618035</v>
      </c>
      <c r="Y226" s="324">
        <f t="shared" si="23"/>
        <v>0.76458313265495603</v>
      </c>
    </row>
    <row r="227" spans="1:25" x14ac:dyDescent="0.25">
      <c r="A227" s="148">
        <f>Données!A227</f>
        <v>5764</v>
      </c>
      <c r="B227" s="156" t="str">
        <f>Données!B227</f>
        <v>Vallorbe</v>
      </c>
      <c r="C227" s="318">
        <f>Données!C227</f>
        <v>4328</v>
      </c>
      <c r="D227" s="319">
        <f>Données!D227</f>
        <v>71.5</v>
      </c>
      <c r="E227" s="320">
        <f>Données!E227</f>
        <v>1</v>
      </c>
      <c r="F227" s="321">
        <f>Données!F227</f>
        <v>4890696.99</v>
      </c>
      <c r="G227" s="321">
        <f>Données!G227</f>
        <v>572705.21</v>
      </c>
      <c r="H227" s="321">
        <f>Données!H227</f>
        <v>489604.1</v>
      </c>
      <c r="I227" s="321">
        <f>Données!I227</f>
        <v>39016.75</v>
      </c>
      <c r="J227" s="321">
        <f>Données!J227</f>
        <v>0</v>
      </c>
      <c r="K227" s="321">
        <f>Données!K227</f>
        <v>82449.289999999994</v>
      </c>
      <c r="L227" s="321">
        <f>Données!L227</f>
        <v>-231182.02</v>
      </c>
      <c r="M227" s="321">
        <f>Données!M227</f>
        <v>-2716.66</v>
      </c>
      <c r="N227" s="321">
        <f>Données!N227</f>
        <v>52185.049601399332</v>
      </c>
      <c r="O227" s="321">
        <f>Données!O227</f>
        <v>572574.69999999995</v>
      </c>
      <c r="P227" s="321">
        <f>Données!P227</f>
        <v>257912.95</v>
      </c>
      <c r="Q227" s="321">
        <f>Données!Q227</f>
        <v>63835.15</v>
      </c>
      <c r="R227" s="321">
        <f>Données!R227</f>
        <v>-2274.7399999999998</v>
      </c>
      <c r="S227" s="313"/>
      <c r="T227" s="302">
        <f t="shared" si="18"/>
        <v>5561765.2344684144</v>
      </c>
      <c r="U227" s="322">
        <f t="shared" si="19"/>
        <v>572574.69999999995</v>
      </c>
      <c r="V227" s="322">
        <f t="shared" si="20"/>
        <v>319473.36000000004</v>
      </c>
      <c r="W227" s="323">
        <f t="shared" si="21"/>
        <v>6453813.294468415</v>
      </c>
      <c r="X227" s="302">
        <f t="shared" si="22"/>
        <v>1491.1768240453823</v>
      </c>
      <c r="Y227" s="324">
        <f t="shared" si="23"/>
        <v>0.44640470562532331</v>
      </c>
    </row>
    <row r="228" spans="1:25" x14ac:dyDescent="0.25">
      <c r="A228" s="148">
        <f>Données!A228</f>
        <v>5765</v>
      </c>
      <c r="B228" s="156" t="str">
        <f>Données!B228</f>
        <v>Vaulion</v>
      </c>
      <c r="C228" s="318">
        <f>Données!C228</f>
        <v>489</v>
      </c>
      <c r="D228" s="319">
        <f>Données!D228</f>
        <v>81</v>
      </c>
      <c r="E228" s="320">
        <f>Données!E228</f>
        <v>0.5</v>
      </c>
      <c r="F228" s="321">
        <f>Données!F228</f>
        <v>601199.71</v>
      </c>
      <c r="G228" s="321">
        <f>Données!G228</f>
        <v>101871.8</v>
      </c>
      <c r="H228" s="321">
        <f>Données!H228</f>
        <v>18994.349999999999</v>
      </c>
      <c r="I228" s="321">
        <f>Données!I228</f>
        <v>860.65</v>
      </c>
      <c r="J228" s="321">
        <f>Données!J228</f>
        <v>0</v>
      </c>
      <c r="K228" s="321">
        <f>Données!K228</f>
        <v>4187.57</v>
      </c>
      <c r="L228" s="321">
        <f>Données!L228</f>
        <v>-2562.58</v>
      </c>
      <c r="M228" s="321">
        <f>Données!M228</f>
        <v>0</v>
      </c>
      <c r="N228" s="321">
        <f>Données!N228</f>
        <v>1960.0705493091766</v>
      </c>
      <c r="O228" s="321">
        <f>Données!O228</f>
        <v>35354.5</v>
      </c>
      <c r="P228" s="321">
        <f>Données!P228</f>
        <v>26297.18</v>
      </c>
      <c r="Q228" s="321">
        <f>Données!Q228</f>
        <v>0</v>
      </c>
      <c r="R228" s="321">
        <f>Données!R228</f>
        <v>-76.290000000000006</v>
      </c>
      <c r="S228" s="313"/>
      <c r="T228" s="302">
        <f t="shared" si="18"/>
        <v>605281.71281185187</v>
      </c>
      <c r="U228" s="322">
        <f t="shared" si="19"/>
        <v>70709</v>
      </c>
      <c r="V228" s="322">
        <f t="shared" si="20"/>
        <v>26220.89</v>
      </c>
      <c r="W228" s="323">
        <f t="shared" si="21"/>
        <v>702211.60281185189</v>
      </c>
      <c r="X228" s="302">
        <f t="shared" si="22"/>
        <v>1436.0155476724988</v>
      </c>
      <c r="Y228" s="324">
        <f t="shared" si="23"/>
        <v>0.4298914035513603</v>
      </c>
    </row>
    <row r="229" spans="1:25" x14ac:dyDescent="0.25">
      <c r="A229" s="148">
        <f>Données!A229</f>
        <v>5766</v>
      </c>
      <c r="B229" s="156" t="str">
        <f>Données!B229</f>
        <v>Vuiteboeuf</v>
      </c>
      <c r="C229" s="318">
        <f>Données!C229</f>
        <v>607</v>
      </c>
      <c r="D229" s="319">
        <f>Données!D229</f>
        <v>75</v>
      </c>
      <c r="E229" s="320">
        <f>Données!E229</f>
        <v>0.7</v>
      </c>
      <c r="F229" s="321">
        <f>Données!F229</f>
        <v>860897.61</v>
      </c>
      <c r="G229" s="321">
        <f>Données!G229</f>
        <v>143496.29</v>
      </c>
      <c r="H229" s="321">
        <f>Données!H229</f>
        <v>42197.15</v>
      </c>
      <c r="I229" s="321">
        <f>Données!I229</f>
        <v>2018.6</v>
      </c>
      <c r="J229" s="321">
        <f>Données!J229</f>
        <v>0</v>
      </c>
      <c r="K229" s="321">
        <f>Données!K229</f>
        <v>0</v>
      </c>
      <c r="L229" s="321">
        <f>Données!L229</f>
        <v>-14905.51</v>
      </c>
      <c r="M229" s="321">
        <f>Données!M229</f>
        <v>0</v>
      </c>
      <c r="N229" s="321">
        <f>Données!N229</f>
        <v>4364.9453231235066</v>
      </c>
      <c r="O229" s="321">
        <f>Données!O229</f>
        <v>67364.7</v>
      </c>
      <c r="P229" s="321">
        <f>Données!P229</f>
        <v>18273.43</v>
      </c>
      <c r="Q229" s="321">
        <f>Données!Q229</f>
        <v>5400.75</v>
      </c>
      <c r="R229" s="321">
        <f>Données!R229</f>
        <v>-131.75</v>
      </c>
      <c r="S229" s="313"/>
      <c r="T229" s="302">
        <f t="shared" si="18"/>
        <v>934039.04384736705</v>
      </c>
      <c r="U229" s="322">
        <f t="shared" si="19"/>
        <v>96235.28571428571</v>
      </c>
      <c r="V229" s="322">
        <f t="shared" si="20"/>
        <v>23542.43</v>
      </c>
      <c r="W229" s="323">
        <f t="shared" si="21"/>
        <v>1053816.7595616528</v>
      </c>
      <c r="X229" s="302">
        <f t="shared" si="22"/>
        <v>1736.1066879104658</v>
      </c>
      <c r="Y229" s="324">
        <f t="shared" si="23"/>
        <v>0.51972789709025147</v>
      </c>
    </row>
    <row r="230" spans="1:25" x14ac:dyDescent="0.25">
      <c r="A230" s="148">
        <f>Données!A230</f>
        <v>5785</v>
      </c>
      <c r="B230" s="156" t="str">
        <f>Données!B230</f>
        <v>Corcelles-le-Jorat</v>
      </c>
      <c r="C230" s="318">
        <f>Données!C230</f>
        <v>499</v>
      </c>
      <c r="D230" s="319">
        <f>Données!D230</f>
        <v>75</v>
      </c>
      <c r="E230" s="320">
        <f>Données!E230</f>
        <v>1</v>
      </c>
      <c r="F230" s="321">
        <f>Données!F230</f>
        <v>882217.26</v>
      </c>
      <c r="G230" s="321">
        <f>Données!G230</f>
        <v>204157.5</v>
      </c>
      <c r="H230" s="321">
        <f>Données!H230</f>
        <v>5256.5</v>
      </c>
      <c r="I230" s="321">
        <f>Données!I230</f>
        <v>2035.25</v>
      </c>
      <c r="J230" s="321">
        <f>Données!J230</f>
        <v>0</v>
      </c>
      <c r="K230" s="321">
        <f>Données!K230</f>
        <v>323.88</v>
      </c>
      <c r="L230" s="321">
        <f>Données!L230</f>
        <v>-75411.94</v>
      </c>
      <c r="M230" s="321">
        <f>Données!M230</f>
        <v>0</v>
      </c>
      <c r="N230" s="321">
        <f>Données!N230</f>
        <v>719.8360326328476</v>
      </c>
      <c r="O230" s="321">
        <f>Données!O230</f>
        <v>90503.4</v>
      </c>
      <c r="P230" s="321">
        <f>Données!P230</f>
        <v>29310.05</v>
      </c>
      <c r="Q230" s="321">
        <f>Données!Q230</f>
        <v>565.6</v>
      </c>
      <c r="R230" s="321">
        <f>Données!R230</f>
        <v>-410.6</v>
      </c>
      <c r="S230" s="313"/>
      <c r="T230" s="302">
        <f t="shared" si="18"/>
        <v>917149.35926911631</v>
      </c>
      <c r="U230" s="322">
        <f t="shared" si="19"/>
        <v>90503.4</v>
      </c>
      <c r="V230" s="322">
        <f t="shared" si="20"/>
        <v>29465.05</v>
      </c>
      <c r="W230" s="323">
        <f t="shared" si="21"/>
        <v>1037117.8092691164</v>
      </c>
      <c r="X230" s="302">
        <f t="shared" si="22"/>
        <v>2078.3924033449225</v>
      </c>
      <c r="Y230" s="324">
        <f t="shared" si="23"/>
        <v>0.62219592876455654</v>
      </c>
    </row>
    <row r="231" spans="1:25" x14ac:dyDescent="0.25">
      <c r="A231" s="148">
        <f>Données!A231</f>
        <v>5790</v>
      </c>
      <c r="B231" s="156" t="str">
        <f>Données!B231</f>
        <v>Maracon</v>
      </c>
      <c r="C231" s="318">
        <f>Données!C231</f>
        <v>569</v>
      </c>
      <c r="D231" s="319">
        <f>Données!D231</f>
        <v>74.5</v>
      </c>
      <c r="E231" s="320">
        <f>Données!E231</f>
        <v>1</v>
      </c>
      <c r="F231" s="321">
        <f>Données!F231</f>
        <v>977207.83</v>
      </c>
      <c r="G231" s="321">
        <f>Données!G231</f>
        <v>141518.99</v>
      </c>
      <c r="H231" s="321">
        <f>Données!H231</f>
        <v>17184.2</v>
      </c>
      <c r="I231" s="321">
        <f>Données!I231</f>
        <v>1197.95</v>
      </c>
      <c r="J231" s="321">
        <f>Données!J231</f>
        <v>0</v>
      </c>
      <c r="K231" s="321">
        <f>Données!K231</f>
        <v>19944.93</v>
      </c>
      <c r="L231" s="321">
        <f>Données!L231</f>
        <v>-41986.35</v>
      </c>
      <c r="M231" s="321">
        <f>Données!M231</f>
        <v>-166.66</v>
      </c>
      <c r="N231" s="321">
        <f>Données!N231</f>
        <v>1814.6719137740461</v>
      </c>
      <c r="O231" s="321">
        <f>Données!O231</f>
        <v>99085.45</v>
      </c>
      <c r="P231" s="321">
        <f>Données!P231</f>
        <v>-1576.79</v>
      </c>
      <c r="Q231" s="321">
        <f>Données!Q231</f>
        <v>2421.6</v>
      </c>
      <c r="R231" s="321">
        <f>Données!R231</f>
        <v>-3044.45</v>
      </c>
      <c r="S231" s="313"/>
      <c r="T231" s="302">
        <f t="shared" si="18"/>
        <v>1011547.6185093597</v>
      </c>
      <c r="U231" s="322">
        <f t="shared" si="19"/>
        <v>99085.45</v>
      </c>
      <c r="V231" s="322">
        <f t="shared" si="20"/>
        <v>-2199.64</v>
      </c>
      <c r="W231" s="323">
        <f t="shared" si="21"/>
        <v>1108433.4285093597</v>
      </c>
      <c r="X231" s="302">
        <f t="shared" si="22"/>
        <v>1948.0376599461506</v>
      </c>
      <c r="Y231" s="324">
        <f t="shared" si="23"/>
        <v>0.58317240726431741</v>
      </c>
    </row>
    <row r="232" spans="1:25" x14ac:dyDescent="0.25">
      <c r="A232" s="148">
        <f>Données!A232</f>
        <v>5792</v>
      </c>
      <c r="B232" s="156" t="str">
        <f>Données!B232</f>
        <v>Montpreveyres</v>
      </c>
      <c r="C232" s="318">
        <f>Données!C232</f>
        <v>653</v>
      </c>
      <c r="D232" s="319">
        <f>Données!D232</f>
        <v>74.5</v>
      </c>
      <c r="E232" s="320">
        <f>Données!E232</f>
        <v>1</v>
      </c>
      <c r="F232" s="321">
        <f>Données!F232</f>
        <v>1177391.29</v>
      </c>
      <c r="G232" s="321">
        <f>Données!G232</f>
        <v>154615.18</v>
      </c>
      <c r="H232" s="321">
        <f>Données!H232</f>
        <v>22972.25</v>
      </c>
      <c r="I232" s="321">
        <f>Données!I232</f>
        <v>-705.75</v>
      </c>
      <c r="J232" s="321">
        <f>Données!J232</f>
        <v>0</v>
      </c>
      <c r="K232" s="321">
        <f>Données!K232</f>
        <v>2727.67</v>
      </c>
      <c r="L232" s="321">
        <f>Données!L232</f>
        <v>-7538.8</v>
      </c>
      <c r="M232" s="321">
        <f>Données!M232</f>
        <v>0</v>
      </c>
      <c r="N232" s="321">
        <f>Données!N232</f>
        <v>2198.1320013192035</v>
      </c>
      <c r="O232" s="321">
        <f>Données!O232</f>
        <v>123583.9</v>
      </c>
      <c r="P232" s="321">
        <f>Données!P232</f>
        <v>13860.35</v>
      </c>
      <c r="Q232" s="321">
        <f>Données!Q232</f>
        <v>1733.5</v>
      </c>
      <c r="R232" s="321">
        <f>Données!R232</f>
        <v>-29.95</v>
      </c>
      <c r="S232" s="313"/>
      <c r="T232" s="302">
        <f t="shared" si="18"/>
        <v>1224365.8746630189</v>
      </c>
      <c r="U232" s="322">
        <f t="shared" si="19"/>
        <v>123583.9</v>
      </c>
      <c r="V232" s="322">
        <f t="shared" si="20"/>
        <v>15563.9</v>
      </c>
      <c r="W232" s="323">
        <f t="shared" si="21"/>
        <v>1363513.6746630187</v>
      </c>
      <c r="X232" s="302">
        <f t="shared" si="22"/>
        <v>2088.0760714594467</v>
      </c>
      <c r="Y232" s="324">
        <f t="shared" si="23"/>
        <v>0.62509487069037739</v>
      </c>
    </row>
    <row r="233" spans="1:25" x14ac:dyDescent="0.25">
      <c r="A233" s="148">
        <f>Données!A233</f>
        <v>5798</v>
      </c>
      <c r="B233" s="156" t="str">
        <f>Données!B233</f>
        <v>Ropraz</v>
      </c>
      <c r="C233" s="318">
        <f>Données!C233</f>
        <v>529</v>
      </c>
      <c r="D233" s="319">
        <f>Données!D233</f>
        <v>77.5</v>
      </c>
      <c r="E233" s="320">
        <f>Données!E233</f>
        <v>1</v>
      </c>
      <c r="F233" s="321">
        <f>Données!F233</f>
        <v>931619.82</v>
      </c>
      <c r="G233" s="321">
        <f>Données!G233</f>
        <v>105217.32</v>
      </c>
      <c r="H233" s="321">
        <f>Données!H233</f>
        <v>21287.1</v>
      </c>
      <c r="I233" s="321">
        <f>Données!I233</f>
        <v>1281.0999999999999</v>
      </c>
      <c r="J233" s="321">
        <f>Données!J233</f>
        <v>0</v>
      </c>
      <c r="K233" s="321">
        <f>Données!K233</f>
        <v>4049.42</v>
      </c>
      <c r="L233" s="321">
        <f>Données!L233</f>
        <v>-11261.63</v>
      </c>
      <c r="M233" s="321">
        <f>Données!M233</f>
        <v>0</v>
      </c>
      <c r="N233" s="321">
        <f>Données!N233</f>
        <v>2227.9155966214735</v>
      </c>
      <c r="O233" s="321">
        <f>Données!O233</f>
        <v>102876.3</v>
      </c>
      <c r="P233" s="321">
        <f>Données!P233</f>
        <v>47229.29</v>
      </c>
      <c r="Q233" s="321">
        <f>Données!Q233</f>
        <v>8205.0499999999993</v>
      </c>
      <c r="R233" s="321">
        <f>Données!R233</f>
        <v>-133.15</v>
      </c>
      <c r="S233" s="313"/>
      <c r="T233" s="302">
        <f t="shared" si="18"/>
        <v>918147.38055460271</v>
      </c>
      <c r="U233" s="322">
        <f t="shared" si="19"/>
        <v>102876.3</v>
      </c>
      <c r="V233" s="322">
        <f t="shared" si="20"/>
        <v>55301.189999999995</v>
      </c>
      <c r="W233" s="323">
        <f t="shared" si="21"/>
        <v>1076324.8705546027</v>
      </c>
      <c r="X233" s="302">
        <f t="shared" si="22"/>
        <v>2034.6405870597405</v>
      </c>
      <c r="Y233" s="324">
        <f t="shared" si="23"/>
        <v>0.60909820865891906</v>
      </c>
    </row>
    <row r="234" spans="1:25" x14ac:dyDescent="0.25">
      <c r="A234" s="148">
        <f>Données!A234</f>
        <v>5799</v>
      </c>
      <c r="B234" s="156" t="str">
        <f>Données!B234</f>
        <v>Servion</v>
      </c>
      <c r="C234" s="318">
        <f>Données!C234</f>
        <v>2228</v>
      </c>
      <c r="D234" s="319">
        <f>Données!D234</f>
        <v>69</v>
      </c>
      <c r="E234" s="320">
        <f>Données!E234</f>
        <v>1</v>
      </c>
      <c r="F234" s="321">
        <f>Données!F234</f>
        <v>4350564.91</v>
      </c>
      <c r="G234" s="321">
        <f>Données!G234</f>
        <v>525755.48</v>
      </c>
      <c r="H234" s="321">
        <f>Données!H234</f>
        <v>138165.75</v>
      </c>
      <c r="I234" s="321">
        <f>Données!I234</f>
        <v>12062.45</v>
      </c>
      <c r="J234" s="321">
        <f>Données!J234</f>
        <v>0</v>
      </c>
      <c r="K234" s="321">
        <f>Données!K234</f>
        <v>11728.32</v>
      </c>
      <c r="L234" s="321">
        <f>Données!L234</f>
        <v>-72112.81</v>
      </c>
      <c r="M234" s="321">
        <f>Données!M234</f>
        <v>0</v>
      </c>
      <c r="N234" s="321">
        <f>Données!N234</f>
        <v>14830.414026478411</v>
      </c>
      <c r="O234" s="321">
        <f>Données!O234</f>
        <v>454204.25</v>
      </c>
      <c r="P234" s="321">
        <f>Données!P234</f>
        <v>63833.04</v>
      </c>
      <c r="Q234" s="321">
        <f>Données!Q234</f>
        <v>13395.8</v>
      </c>
      <c r="R234" s="321">
        <f>Données!R234</f>
        <v>-1111.2</v>
      </c>
      <c r="S234" s="313"/>
      <c r="T234" s="302">
        <f t="shared" si="18"/>
        <v>4871548.2585695349</v>
      </c>
      <c r="U234" s="322">
        <f t="shared" si="19"/>
        <v>454204.25</v>
      </c>
      <c r="V234" s="322">
        <f t="shared" si="20"/>
        <v>76117.64</v>
      </c>
      <c r="W234" s="323">
        <f t="shared" si="21"/>
        <v>5401870.1485695345</v>
      </c>
      <c r="X234" s="302">
        <f t="shared" si="22"/>
        <v>2424.5377686577804</v>
      </c>
      <c r="Y234" s="324">
        <f t="shared" si="23"/>
        <v>0.72581940078637874</v>
      </c>
    </row>
    <row r="235" spans="1:25" x14ac:dyDescent="0.25">
      <c r="A235" s="148">
        <f>Données!A235</f>
        <v>5803</v>
      </c>
      <c r="B235" s="156" t="str">
        <f>Données!B235</f>
        <v>Vulliens</v>
      </c>
      <c r="C235" s="318">
        <f>Données!C235</f>
        <v>628</v>
      </c>
      <c r="D235" s="319">
        <f>Données!D235</f>
        <v>74</v>
      </c>
      <c r="E235" s="320">
        <f>Données!E235</f>
        <v>1</v>
      </c>
      <c r="F235" s="321">
        <f>Données!F235</f>
        <v>1114020.46</v>
      </c>
      <c r="G235" s="321">
        <f>Données!G235</f>
        <v>141809.68</v>
      </c>
      <c r="H235" s="321">
        <f>Données!H235</f>
        <v>8726.5</v>
      </c>
      <c r="I235" s="321">
        <f>Données!I235</f>
        <v>2471.5500000000002</v>
      </c>
      <c r="J235" s="321">
        <f>Données!J235</f>
        <v>0</v>
      </c>
      <c r="K235" s="321">
        <f>Données!K235</f>
        <v>2508.1799999999998</v>
      </c>
      <c r="L235" s="321">
        <f>Données!L235</f>
        <v>-16664.560000000001</v>
      </c>
      <c r="M235" s="321">
        <f>Données!M235</f>
        <v>0</v>
      </c>
      <c r="N235" s="321">
        <f>Données!N235</f>
        <v>1105.4630075392406</v>
      </c>
      <c r="O235" s="321">
        <f>Données!O235</f>
        <v>114325</v>
      </c>
      <c r="P235" s="321">
        <f>Données!P235</f>
        <v>802.02</v>
      </c>
      <c r="Q235" s="321">
        <f>Données!Q235</f>
        <v>0</v>
      </c>
      <c r="R235" s="321">
        <f>Données!R235</f>
        <v>-550.1</v>
      </c>
      <c r="S235" s="313"/>
      <c r="T235" s="302">
        <f t="shared" si="18"/>
        <v>1143557.4357767624</v>
      </c>
      <c r="U235" s="322">
        <f t="shared" si="19"/>
        <v>114325</v>
      </c>
      <c r="V235" s="322">
        <f t="shared" si="20"/>
        <v>251.91999999999996</v>
      </c>
      <c r="W235" s="323">
        <f t="shared" si="21"/>
        <v>1258134.3557767624</v>
      </c>
      <c r="X235" s="302">
        <f t="shared" si="22"/>
        <v>2003.3986556954815</v>
      </c>
      <c r="Y235" s="324">
        <f t="shared" si="23"/>
        <v>0.59974549813596889</v>
      </c>
    </row>
    <row r="236" spans="1:25" x14ac:dyDescent="0.25">
      <c r="A236" s="148">
        <f>Données!A236</f>
        <v>5804</v>
      </c>
      <c r="B236" s="156" t="str">
        <f>Données!B236</f>
        <v>Jorat-Menthue</v>
      </c>
      <c r="C236" s="318">
        <f>Données!C236</f>
        <v>1576</v>
      </c>
      <c r="D236" s="319">
        <f>Données!D236</f>
        <v>70.5</v>
      </c>
      <c r="E236" s="320">
        <f>Données!E236</f>
        <v>1</v>
      </c>
      <c r="F236" s="321">
        <f>Données!F236</f>
        <v>2670540.04</v>
      </c>
      <c r="G236" s="321">
        <f>Données!G236</f>
        <v>411572.01</v>
      </c>
      <c r="H236" s="321">
        <f>Données!H236</f>
        <v>42893.35</v>
      </c>
      <c r="I236" s="321">
        <f>Données!I236</f>
        <v>1304.6500000000001</v>
      </c>
      <c r="J236" s="321">
        <f>Données!J236</f>
        <v>0</v>
      </c>
      <c r="K236" s="321">
        <f>Données!K236</f>
        <v>6766.09</v>
      </c>
      <c r="L236" s="321">
        <f>Données!L236</f>
        <v>-76835.06</v>
      </c>
      <c r="M236" s="321">
        <f>Données!M236</f>
        <v>0</v>
      </c>
      <c r="N236" s="321">
        <f>Données!N236</f>
        <v>4363.1930565785442</v>
      </c>
      <c r="O236" s="321">
        <f>Données!O236</f>
        <v>287661.45</v>
      </c>
      <c r="P236" s="321">
        <f>Données!P236</f>
        <v>44402.87</v>
      </c>
      <c r="Q236" s="321">
        <f>Données!Q236</f>
        <v>3540.4</v>
      </c>
      <c r="R236" s="321">
        <f>Données!R236</f>
        <v>-859.8</v>
      </c>
      <c r="S236" s="313"/>
      <c r="T236" s="302">
        <f t="shared" si="18"/>
        <v>2929665.9243419492</v>
      </c>
      <c r="U236" s="322">
        <f t="shared" si="19"/>
        <v>287661.45</v>
      </c>
      <c r="V236" s="322">
        <f t="shared" si="20"/>
        <v>47083.47</v>
      </c>
      <c r="W236" s="323">
        <f t="shared" si="21"/>
        <v>3264410.8443419496</v>
      </c>
      <c r="X236" s="302">
        <f t="shared" si="22"/>
        <v>2071.3266778819475</v>
      </c>
      <c r="Y236" s="324">
        <f t="shared" si="23"/>
        <v>0.62008070470496324</v>
      </c>
    </row>
    <row r="237" spans="1:25" x14ac:dyDescent="0.25">
      <c r="A237" s="148">
        <f>Données!A237</f>
        <v>5805</v>
      </c>
      <c r="B237" s="156" t="str">
        <f>Données!B237</f>
        <v>Oron</v>
      </c>
      <c r="C237" s="318">
        <f>Données!C237</f>
        <v>6345</v>
      </c>
      <c r="D237" s="319">
        <f>Données!D237</f>
        <v>69</v>
      </c>
      <c r="E237" s="320">
        <f>Données!E237</f>
        <v>1.1000000000000001</v>
      </c>
      <c r="F237" s="321">
        <f>Données!F237</f>
        <v>9826030.3900000006</v>
      </c>
      <c r="G237" s="321">
        <f>Données!G237</f>
        <v>1279005</v>
      </c>
      <c r="H237" s="321">
        <f>Données!H237</f>
        <v>575487.65</v>
      </c>
      <c r="I237" s="321">
        <f>Données!I237</f>
        <v>23721.9</v>
      </c>
      <c r="J237" s="321">
        <f>Données!J237</f>
        <v>40675.5</v>
      </c>
      <c r="K237" s="321">
        <f>Données!K237</f>
        <v>32200.39</v>
      </c>
      <c r="L237" s="321">
        <f>Données!L237</f>
        <v>-151603.07</v>
      </c>
      <c r="M237" s="321">
        <f>Données!M237</f>
        <v>-1600</v>
      </c>
      <c r="N237" s="321">
        <f>Données!N237</f>
        <v>59153.512557028691</v>
      </c>
      <c r="O237" s="321">
        <f>Données!O237</f>
        <v>1235478.95</v>
      </c>
      <c r="P237" s="321">
        <f>Données!P237</f>
        <v>172477.95</v>
      </c>
      <c r="Q237" s="321">
        <f>Données!Q237</f>
        <v>91591.45</v>
      </c>
      <c r="R237" s="321">
        <f>Données!R237</f>
        <v>-18106.05</v>
      </c>
      <c r="S237" s="313"/>
      <c r="T237" s="302">
        <f t="shared" si="18"/>
        <v>11426361.814351996</v>
      </c>
      <c r="U237" s="322">
        <f t="shared" si="19"/>
        <v>1123162.6818181816</v>
      </c>
      <c r="V237" s="322">
        <f t="shared" si="20"/>
        <v>245963.35000000003</v>
      </c>
      <c r="W237" s="323">
        <f t="shared" si="21"/>
        <v>12795487.846170178</v>
      </c>
      <c r="X237" s="302">
        <f t="shared" si="22"/>
        <v>2016.6253500662219</v>
      </c>
      <c r="Y237" s="324">
        <f t="shared" si="23"/>
        <v>0.60370509468532274</v>
      </c>
    </row>
    <row r="238" spans="1:25" x14ac:dyDescent="0.25">
      <c r="A238" s="148">
        <f>Données!A238</f>
        <v>5806</v>
      </c>
      <c r="B238" s="156" t="str">
        <f>Données!B238</f>
        <v>Jorat-Mézières</v>
      </c>
      <c r="C238" s="318">
        <f>Données!C238</f>
        <v>3189</v>
      </c>
      <c r="D238" s="319">
        <f>Données!D238</f>
        <v>71</v>
      </c>
      <c r="E238" s="320">
        <f>Données!E238</f>
        <v>1</v>
      </c>
      <c r="F238" s="321">
        <f>Données!F238</f>
        <v>5648294.1600000001</v>
      </c>
      <c r="G238" s="321">
        <f>Données!G238</f>
        <v>721227.81</v>
      </c>
      <c r="H238" s="321">
        <f>Données!H238</f>
        <v>132447.65</v>
      </c>
      <c r="I238" s="321">
        <f>Données!I238</f>
        <v>10132.25</v>
      </c>
      <c r="J238" s="321">
        <f>Données!J238</f>
        <v>52354.65</v>
      </c>
      <c r="K238" s="321">
        <f>Données!K238</f>
        <v>36031.78</v>
      </c>
      <c r="L238" s="321">
        <f>Données!L238</f>
        <v>-74315.05</v>
      </c>
      <c r="M238" s="321">
        <f>Données!M238</f>
        <v>-1200</v>
      </c>
      <c r="N238" s="321">
        <f>Données!N238</f>
        <v>14075.379648121252</v>
      </c>
      <c r="O238" s="321">
        <f>Données!O238</f>
        <v>591003.1</v>
      </c>
      <c r="P238" s="321">
        <f>Données!P238</f>
        <v>78975.990000000005</v>
      </c>
      <c r="Q238" s="321">
        <f>Données!Q238</f>
        <v>33842.550000000003</v>
      </c>
      <c r="R238" s="321">
        <f>Données!R238</f>
        <v>-4295.8999999999996</v>
      </c>
      <c r="S238" s="313"/>
      <c r="T238" s="302">
        <f t="shared" si="18"/>
        <v>6215216.4065714506</v>
      </c>
      <c r="U238" s="322">
        <f t="shared" si="19"/>
        <v>591003.1</v>
      </c>
      <c r="V238" s="322">
        <f t="shared" si="20"/>
        <v>108522.64000000001</v>
      </c>
      <c r="W238" s="323">
        <f t="shared" si="21"/>
        <v>6914742.1465714499</v>
      </c>
      <c r="X238" s="302">
        <f t="shared" si="22"/>
        <v>2168.3104881064442</v>
      </c>
      <c r="Y238" s="324">
        <f t="shared" si="23"/>
        <v>0.64911416911747821</v>
      </c>
    </row>
    <row r="239" spans="1:25" x14ac:dyDescent="0.25">
      <c r="A239" s="148">
        <f>Données!A239</f>
        <v>5812</v>
      </c>
      <c r="B239" s="156" t="str">
        <f>Données!B239</f>
        <v>Champtauroz</v>
      </c>
      <c r="C239" s="318">
        <f>Données!C239</f>
        <v>196</v>
      </c>
      <c r="D239" s="319">
        <f>Données!D239</f>
        <v>77</v>
      </c>
      <c r="E239" s="320">
        <f>Données!E239</f>
        <v>0.8</v>
      </c>
      <c r="F239" s="321">
        <f>Données!F239</f>
        <v>239350.8</v>
      </c>
      <c r="G239" s="321">
        <f>Données!G239</f>
        <v>25359.06</v>
      </c>
      <c r="H239" s="321">
        <f>Données!H239</f>
        <v>18478.45</v>
      </c>
      <c r="I239" s="321">
        <f>Données!I239</f>
        <v>366.55</v>
      </c>
      <c r="J239" s="321">
        <f>Données!J239</f>
        <v>0</v>
      </c>
      <c r="K239" s="321">
        <f>Données!K239</f>
        <v>296.37</v>
      </c>
      <c r="L239" s="321">
        <f>Données!L239</f>
        <v>-6519.71</v>
      </c>
      <c r="M239" s="321">
        <f>Données!M239</f>
        <v>0</v>
      </c>
      <c r="N239" s="321">
        <f>Données!N239</f>
        <v>1860.3641149197397</v>
      </c>
      <c r="O239" s="321">
        <f>Données!O239</f>
        <v>20061.400000000001</v>
      </c>
      <c r="P239" s="321">
        <f>Données!P239</f>
        <v>490.74</v>
      </c>
      <c r="Q239" s="321">
        <f>Données!Q239</f>
        <v>894.75</v>
      </c>
      <c r="R239" s="321">
        <f>Données!R239</f>
        <v>-31.25</v>
      </c>
      <c r="S239" s="313"/>
      <c r="T239" s="302">
        <f t="shared" si="18"/>
        <v>244687.67864578334</v>
      </c>
      <c r="U239" s="322">
        <f t="shared" si="19"/>
        <v>25076.75</v>
      </c>
      <c r="V239" s="322">
        <f t="shared" si="20"/>
        <v>1354.24</v>
      </c>
      <c r="W239" s="323">
        <f t="shared" si="21"/>
        <v>271118.66864578333</v>
      </c>
      <c r="X239" s="302">
        <f t="shared" si="22"/>
        <v>1383.2585134988944</v>
      </c>
      <c r="Y239" s="324">
        <f t="shared" si="23"/>
        <v>0.41409784511471431</v>
      </c>
    </row>
    <row r="240" spans="1:25" x14ac:dyDescent="0.25">
      <c r="A240" s="148">
        <f>Données!A240</f>
        <v>5813</v>
      </c>
      <c r="B240" s="156" t="str">
        <f>Données!B240</f>
        <v>Chevroux</v>
      </c>
      <c r="C240" s="318">
        <f>Données!C240</f>
        <v>495</v>
      </c>
      <c r="D240" s="319">
        <f>Données!D240</f>
        <v>68.5</v>
      </c>
      <c r="E240" s="320">
        <f>Données!E240</f>
        <v>1.2</v>
      </c>
      <c r="F240" s="321">
        <f>Données!F240</f>
        <v>1066411.93</v>
      </c>
      <c r="G240" s="321">
        <f>Données!G240</f>
        <v>121683.98</v>
      </c>
      <c r="H240" s="321">
        <f>Données!H240</f>
        <v>14478.7</v>
      </c>
      <c r="I240" s="321">
        <f>Données!I240</f>
        <v>1084.3499999999999</v>
      </c>
      <c r="J240" s="321">
        <f>Données!J240</f>
        <v>0</v>
      </c>
      <c r="K240" s="321">
        <f>Données!K240</f>
        <v>166.37</v>
      </c>
      <c r="L240" s="321">
        <f>Données!L240</f>
        <v>-4976.6899999999996</v>
      </c>
      <c r="M240" s="321">
        <f>Données!M240</f>
        <v>-100</v>
      </c>
      <c r="N240" s="321">
        <f>Données!N240</f>
        <v>1536.3724987371536</v>
      </c>
      <c r="O240" s="321">
        <f>Données!O240</f>
        <v>126045.05</v>
      </c>
      <c r="P240" s="321">
        <f>Données!P240</f>
        <v>11992.65</v>
      </c>
      <c r="Q240" s="321">
        <f>Données!Q240</f>
        <v>0</v>
      </c>
      <c r="R240" s="321">
        <f>Données!R240</f>
        <v>0</v>
      </c>
      <c r="S240" s="313"/>
      <c r="T240" s="302">
        <f t="shared" si="18"/>
        <v>1182480.120430161</v>
      </c>
      <c r="U240" s="322">
        <f t="shared" si="19"/>
        <v>105037.54166666667</v>
      </c>
      <c r="V240" s="322">
        <f t="shared" si="20"/>
        <v>11992.65</v>
      </c>
      <c r="W240" s="323">
        <f t="shared" si="21"/>
        <v>1299510.3120968277</v>
      </c>
      <c r="X240" s="302">
        <f t="shared" si="22"/>
        <v>2625.2733577713689</v>
      </c>
      <c r="Y240" s="324">
        <f t="shared" si="23"/>
        <v>0.78591241599545236</v>
      </c>
    </row>
    <row r="241" spans="1:25" x14ac:dyDescent="0.25">
      <c r="A241" s="148">
        <f>Données!A241</f>
        <v>5816</v>
      </c>
      <c r="B241" s="156" t="str">
        <f>Données!B241</f>
        <v>Corcelles-près-Payerne</v>
      </c>
      <c r="C241" s="318">
        <f>Données!C241</f>
        <v>3004</v>
      </c>
      <c r="D241" s="319">
        <f>Données!D241</f>
        <v>65</v>
      </c>
      <c r="E241" s="320">
        <f>Données!E241</f>
        <v>0.7</v>
      </c>
      <c r="F241" s="321">
        <f>Données!F241</f>
        <v>3395136.04</v>
      </c>
      <c r="G241" s="321">
        <f>Données!G241</f>
        <v>400368.32</v>
      </c>
      <c r="H241" s="321">
        <f>Données!H241</f>
        <v>416363.65</v>
      </c>
      <c r="I241" s="321">
        <f>Données!I241</f>
        <v>13284.6</v>
      </c>
      <c r="J241" s="321">
        <f>Données!J241</f>
        <v>0</v>
      </c>
      <c r="K241" s="321">
        <f>Données!K241</f>
        <v>96677.87</v>
      </c>
      <c r="L241" s="321">
        <f>Données!L241</f>
        <v>-172014.32</v>
      </c>
      <c r="M241" s="321">
        <f>Données!M241</f>
        <v>0</v>
      </c>
      <c r="N241" s="321">
        <f>Données!N241</f>
        <v>42414.549553625104</v>
      </c>
      <c r="O241" s="321">
        <f>Données!O241</f>
        <v>318007.7</v>
      </c>
      <c r="P241" s="321">
        <f>Données!P241</f>
        <v>179334.22</v>
      </c>
      <c r="Q241" s="321">
        <f>Données!Q241</f>
        <v>-32593.1</v>
      </c>
      <c r="R241" s="321">
        <f>Données!R241</f>
        <v>0</v>
      </c>
      <c r="S241" s="313"/>
      <c r="T241" s="302">
        <f t="shared" si="18"/>
        <v>4352430.5984230107</v>
      </c>
      <c r="U241" s="322">
        <f t="shared" si="19"/>
        <v>454296.71428571432</v>
      </c>
      <c r="V241" s="322">
        <f t="shared" si="20"/>
        <v>146741.12</v>
      </c>
      <c r="W241" s="323">
        <f t="shared" si="21"/>
        <v>4953468.4327087253</v>
      </c>
      <c r="X241" s="302">
        <f t="shared" si="22"/>
        <v>1648.9575341906543</v>
      </c>
      <c r="Y241" s="324">
        <f t="shared" si="23"/>
        <v>0.49363857509673553</v>
      </c>
    </row>
    <row r="242" spans="1:25" x14ac:dyDescent="0.25">
      <c r="A242" s="148">
        <f>Données!A242</f>
        <v>5817</v>
      </c>
      <c r="B242" s="156" t="str">
        <f>Données!B242</f>
        <v>Grandcour</v>
      </c>
      <c r="C242" s="318">
        <f>Données!C242</f>
        <v>983</v>
      </c>
      <c r="D242" s="319">
        <f>Données!D242</f>
        <v>72</v>
      </c>
      <c r="E242" s="320">
        <f>Données!E242</f>
        <v>1</v>
      </c>
      <c r="F242" s="321">
        <f>Données!F242</f>
        <v>1610623.32</v>
      </c>
      <c r="G242" s="321">
        <f>Données!G242</f>
        <v>172855.25</v>
      </c>
      <c r="H242" s="321">
        <f>Données!H242</f>
        <v>13930.1</v>
      </c>
      <c r="I242" s="321">
        <f>Données!I242</f>
        <v>1717.4</v>
      </c>
      <c r="J242" s="321">
        <f>Données!J242</f>
        <v>0</v>
      </c>
      <c r="K242" s="321">
        <f>Données!K242</f>
        <v>1618.58</v>
      </c>
      <c r="L242" s="321">
        <f>Données!L242</f>
        <v>-31518</v>
      </c>
      <c r="M242" s="321">
        <f>Données!M242</f>
        <v>-4350</v>
      </c>
      <c r="N242" s="321">
        <f>Données!N242</f>
        <v>1544.7093387214979</v>
      </c>
      <c r="O242" s="321">
        <f>Données!O242</f>
        <v>143850.75</v>
      </c>
      <c r="P242" s="321">
        <f>Données!P242</f>
        <v>30108.86</v>
      </c>
      <c r="Q242" s="321">
        <f>Données!Q242</f>
        <v>9063.15</v>
      </c>
      <c r="R242" s="321">
        <f>Données!R242</f>
        <v>-105.45</v>
      </c>
      <c r="S242" s="313"/>
      <c r="T242" s="302">
        <f t="shared" si="18"/>
        <v>1655624.5116089878</v>
      </c>
      <c r="U242" s="322">
        <f t="shared" si="19"/>
        <v>143850.75</v>
      </c>
      <c r="V242" s="322">
        <f t="shared" si="20"/>
        <v>39066.560000000005</v>
      </c>
      <c r="W242" s="323">
        <f t="shared" si="21"/>
        <v>1838541.8216089879</v>
      </c>
      <c r="X242" s="302">
        <f t="shared" si="22"/>
        <v>1870.3375601312187</v>
      </c>
      <c r="Y242" s="324">
        <f t="shared" si="23"/>
        <v>0.55991179214099163</v>
      </c>
    </row>
    <row r="243" spans="1:25" x14ac:dyDescent="0.25">
      <c r="A243" s="148">
        <f>Données!A243</f>
        <v>5819</v>
      </c>
      <c r="B243" s="156" t="str">
        <f>Données!B243</f>
        <v>Henniez</v>
      </c>
      <c r="C243" s="318">
        <f>Données!C243</f>
        <v>468</v>
      </c>
      <c r="D243" s="319">
        <f>Données!D243</f>
        <v>69</v>
      </c>
      <c r="E243" s="320">
        <f>Données!E243</f>
        <v>1</v>
      </c>
      <c r="F243" s="321">
        <f>Données!F243</f>
        <v>602434.18999999994</v>
      </c>
      <c r="G243" s="321">
        <f>Données!G243</f>
        <v>149368.07</v>
      </c>
      <c r="H243" s="321">
        <f>Données!H243</f>
        <v>127420.75</v>
      </c>
      <c r="I243" s="321">
        <f>Données!I243</f>
        <v>4937.8</v>
      </c>
      <c r="J243" s="321">
        <f>Données!J243</f>
        <v>0</v>
      </c>
      <c r="K243" s="321">
        <f>Données!K243</f>
        <v>54078.18</v>
      </c>
      <c r="L243" s="321">
        <f>Données!L243</f>
        <v>-41851.699999999997</v>
      </c>
      <c r="M243" s="321">
        <f>Données!M243</f>
        <v>0</v>
      </c>
      <c r="N243" s="321">
        <f>Données!N243</f>
        <v>13066.335724213855</v>
      </c>
      <c r="O243" s="321">
        <f>Données!O243</f>
        <v>103915.15</v>
      </c>
      <c r="P243" s="321">
        <f>Données!P243</f>
        <v>11647.05</v>
      </c>
      <c r="Q243" s="321">
        <f>Données!Q243</f>
        <v>2043.85</v>
      </c>
      <c r="R243" s="321">
        <f>Données!R243</f>
        <v>0</v>
      </c>
      <c r="S243" s="313"/>
      <c r="T243" s="302">
        <f t="shared" si="18"/>
        <v>889470.40880498965</v>
      </c>
      <c r="U243" s="322">
        <f t="shared" si="19"/>
        <v>103915.15</v>
      </c>
      <c r="V243" s="322">
        <f t="shared" si="20"/>
        <v>13690.9</v>
      </c>
      <c r="W243" s="323">
        <f t="shared" si="21"/>
        <v>1007076.4588049897</v>
      </c>
      <c r="X243" s="302">
        <f t="shared" si="22"/>
        <v>2151.8727752243371</v>
      </c>
      <c r="Y243" s="324">
        <f t="shared" si="23"/>
        <v>0.64419330912155648</v>
      </c>
    </row>
    <row r="244" spans="1:25" x14ac:dyDescent="0.25">
      <c r="A244" s="148">
        <f>Données!A244</f>
        <v>5821</v>
      </c>
      <c r="B244" s="156" t="str">
        <f>Données!B244</f>
        <v>Missy</v>
      </c>
      <c r="C244" s="318">
        <f>Données!C244</f>
        <v>384</v>
      </c>
      <c r="D244" s="319">
        <f>Données!D244</f>
        <v>69</v>
      </c>
      <c r="E244" s="320">
        <f>Données!E244</f>
        <v>1</v>
      </c>
      <c r="F244" s="321">
        <f>Données!F244</f>
        <v>531449.26</v>
      </c>
      <c r="G244" s="321">
        <f>Données!G244</f>
        <v>119647.96</v>
      </c>
      <c r="H244" s="321">
        <f>Données!H244</f>
        <v>4300.75</v>
      </c>
      <c r="I244" s="321">
        <f>Données!I244</f>
        <v>1187</v>
      </c>
      <c r="J244" s="321">
        <f>Données!J244</f>
        <v>0</v>
      </c>
      <c r="K244" s="321">
        <f>Données!K244</f>
        <v>318.31</v>
      </c>
      <c r="L244" s="321">
        <f>Données!L244</f>
        <v>-16194.71</v>
      </c>
      <c r="M244" s="321">
        <f>Données!M244</f>
        <v>-500</v>
      </c>
      <c r="N244" s="321">
        <f>Données!N244</f>
        <v>541.7465201194376</v>
      </c>
      <c r="O244" s="321">
        <f>Données!O244</f>
        <v>54926.2</v>
      </c>
      <c r="P244" s="321">
        <f>Données!P244</f>
        <v>16861.29</v>
      </c>
      <c r="Q244" s="321">
        <f>Données!Q244</f>
        <v>1460</v>
      </c>
      <c r="R244" s="321">
        <f>Données!R244</f>
        <v>-58.1</v>
      </c>
      <c r="S244" s="313"/>
      <c r="T244" s="302">
        <f t="shared" si="18"/>
        <v>626671.25607777212</v>
      </c>
      <c r="U244" s="322">
        <f t="shared" si="19"/>
        <v>54926.2</v>
      </c>
      <c r="V244" s="322">
        <f t="shared" si="20"/>
        <v>18263.190000000002</v>
      </c>
      <c r="W244" s="323">
        <f t="shared" si="21"/>
        <v>699860.64607777214</v>
      </c>
      <c r="X244" s="302">
        <f t="shared" si="22"/>
        <v>1822.5537658275316</v>
      </c>
      <c r="Y244" s="324">
        <f t="shared" si="23"/>
        <v>0.54560704284108619</v>
      </c>
    </row>
    <row r="245" spans="1:25" x14ac:dyDescent="0.25">
      <c r="A245" s="148">
        <f>Données!A245</f>
        <v>5822</v>
      </c>
      <c r="B245" s="156" t="str">
        <f>Données!B245</f>
        <v>Payerne</v>
      </c>
      <c r="C245" s="318">
        <f>Données!C245</f>
        <v>10802</v>
      </c>
      <c r="D245" s="319">
        <f>Données!D245</f>
        <v>70</v>
      </c>
      <c r="E245" s="320">
        <f>Données!E245</f>
        <v>1</v>
      </c>
      <c r="F245" s="321">
        <f>Données!F245</f>
        <v>11751520.34</v>
      </c>
      <c r="G245" s="321">
        <f>Données!G245</f>
        <v>1406499.6</v>
      </c>
      <c r="H245" s="321">
        <f>Données!H245</f>
        <v>1654605.6</v>
      </c>
      <c r="I245" s="321">
        <f>Données!I245</f>
        <v>97972.85</v>
      </c>
      <c r="J245" s="321">
        <f>Données!J245</f>
        <v>0</v>
      </c>
      <c r="K245" s="321">
        <f>Données!K245</f>
        <v>191748.16</v>
      </c>
      <c r="L245" s="321">
        <f>Données!L245</f>
        <v>-547316.68000000005</v>
      </c>
      <c r="M245" s="321">
        <f>Données!M245</f>
        <v>123457.38</v>
      </c>
      <c r="N245" s="321">
        <f>Données!N245</f>
        <v>173013.21607650092</v>
      </c>
      <c r="O245" s="321">
        <f>Données!O245</f>
        <v>1679849.65</v>
      </c>
      <c r="P245" s="321">
        <f>Données!P245</f>
        <v>902858.44</v>
      </c>
      <c r="Q245" s="321">
        <f>Données!Q245</f>
        <v>240220.6</v>
      </c>
      <c r="R245" s="321">
        <f>Données!R245</f>
        <v>-1705.53</v>
      </c>
      <c r="S245" s="313"/>
      <c r="T245" s="302">
        <f t="shared" si="18"/>
        <v>14317669.381645598</v>
      </c>
      <c r="U245" s="322">
        <f t="shared" si="19"/>
        <v>1679849.65</v>
      </c>
      <c r="V245" s="322">
        <f t="shared" si="20"/>
        <v>1141373.51</v>
      </c>
      <c r="W245" s="323">
        <f t="shared" si="21"/>
        <v>17138892.541645598</v>
      </c>
      <c r="X245" s="302">
        <f t="shared" si="22"/>
        <v>1586.6406722501017</v>
      </c>
      <c r="Y245" s="324">
        <f t="shared" si="23"/>
        <v>0.47498314807997305</v>
      </c>
    </row>
    <row r="246" spans="1:25" x14ac:dyDescent="0.25">
      <c r="A246" s="148">
        <f>Données!A246</f>
        <v>5827</v>
      </c>
      <c r="B246" s="156" t="str">
        <f>Données!B246</f>
        <v>Trey</v>
      </c>
      <c r="C246" s="318">
        <f>Données!C246</f>
        <v>318</v>
      </c>
      <c r="D246" s="319">
        <f>Données!D246</f>
        <v>78</v>
      </c>
      <c r="E246" s="320">
        <f>Données!E246</f>
        <v>1</v>
      </c>
      <c r="F246" s="321">
        <f>Données!F246</f>
        <v>559300.1</v>
      </c>
      <c r="G246" s="321">
        <f>Données!G246</f>
        <v>65207.08</v>
      </c>
      <c r="H246" s="321">
        <f>Données!H246</f>
        <v>821.55</v>
      </c>
      <c r="I246" s="321">
        <f>Données!I246</f>
        <v>1186.05</v>
      </c>
      <c r="J246" s="321">
        <f>Données!J246</f>
        <v>0</v>
      </c>
      <c r="K246" s="321">
        <f>Données!K246</f>
        <v>5939.03</v>
      </c>
      <c r="L246" s="321">
        <f>Données!L246</f>
        <v>-10545.6</v>
      </c>
      <c r="M246" s="321">
        <f>Données!M246</f>
        <v>0</v>
      </c>
      <c r="N246" s="321">
        <f>Données!N246</f>
        <v>198.18875017844888</v>
      </c>
      <c r="O246" s="321">
        <f>Données!O246</f>
        <v>48186.75</v>
      </c>
      <c r="P246" s="321">
        <f>Données!P246</f>
        <v>4658.21</v>
      </c>
      <c r="Q246" s="321">
        <f>Données!Q246</f>
        <v>1659.35</v>
      </c>
      <c r="R246" s="321">
        <f>Données!R246</f>
        <v>0</v>
      </c>
      <c r="S246" s="313"/>
      <c r="T246" s="302">
        <f t="shared" si="18"/>
        <v>538232.72798905033</v>
      </c>
      <c r="U246" s="322">
        <f t="shared" si="19"/>
        <v>48186.75</v>
      </c>
      <c r="V246" s="322">
        <f t="shared" si="20"/>
        <v>6317.5599999999995</v>
      </c>
      <c r="W246" s="323">
        <f t="shared" si="21"/>
        <v>592737.03798905038</v>
      </c>
      <c r="X246" s="302">
        <f t="shared" si="22"/>
        <v>1863.9529496511018</v>
      </c>
      <c r="Y246" s="324">
        <f t="shared" si="23"/>
        <v>0.55800046940853598</v>
      </c>
    </row>
    <row r="247" spans="1:25" x14ac:dyDescent="0.25">
      <c r="A247" s="148">
        <f>Données!A247</f>
        <v>5828</v>
      </c>
      <c r="B247" s="156" t="str">
        <f>Données!B247</f>
        <v>Treytorrens (Payerne)</v>
      </c>
      <c r="C247" s="318">
        <f>Données!C247</f>
        <v>109</v>
      </c>
      <c r="D247" s="319">
        <f>Données!D247</f>
        <v>81.5</v>
      </c>
      <c r="E247" s="320">
        <f>Données!E247</f>
        <v>1.5</v>
      </c>
      <c r="F247" s="321">
        <f>Données!F247</f>
        <v>172612.93</v>
      </c>
      <c r="G247" s="321">
        <f>Données!G247</f>
        <v>42135.24</v>
      </c>
      <c r="H247" s="321">
        <f>Données!H247</f>
        <v>158.35</v>
      </c>
      <c r="I247" s="321">
        <f>Données!I247</f>
        <v>136.94999999999999</v>
      </c>
      <c r="J247" s="321">
        <f>Données!J247</f>
        <v>0</v>
      </c>
      <c r="K247" s="321">
        <f>Données!K247</f>
        <v>0</v>
      </c>
      <c r="L247" s="321">
        <f>Données!L247</f>
        <v>-1966.38</v>
      </c>
      <c r="M247" s="321">
        <f>Données!M247</f>
        <v>-2800</v>
      </c>
      <c r="N247" s="321">
        <f>Données!N247</f>
        <v>29.151792153664051</v>
      </c>
      <c r="O247" s="321">
        <f>Données!O247</f>
        <v>28126.799999999999</v>
      </c>
      <c r="P247" s="321">
        <f>Données!P247</f>
        <v>1.0900000000000001</v>
      </c>
      <c r="Q247" s="321">
        <f>Données!Q247</f>
        <v>0</v>
      </c>
      <c r="R247" s="321">
        <f>Données!R247</f>
        <v>-86.7</v>
      </c>
      <c r="S247" s="313"/>
      <c r="T247" s="302">
        <f t="shared" si="18"/>
        <v>174138.41621555612</v>
      </c>
      <c r="U247" s="322">
        <f t="shared" si="19"/>
        <v>18751.2</v>
      </c>
      <c r="V247" s="322">
        <f t="shared" si="20"/>
        <v>-85.61</v>
      </c>
      <c r="W247" s="323">
        <f t="shared" si="21"/>
        <v>192804.00621555615</v>
      </c>
      <c r="X247" s="302">
        <f t="shared" si="22"/>
        <v>1768.8440937206985</v>
      </c>
      <c r="Y247" s="324">
        <f t="shared" si="23"/>
        <v>0.52952829887225306</v>
      </c>
    </row>
    <row r="248" spans="1:25" x14ac:dyDescent="0.25">
      <c r="A248" s="148">
        <f>Données!A248</f>
        <v>5830</v>
      </c>
      <c r="B248" s="156" t="str">
        <f>Données!B248</f>
        <v>Villarzel</v>
      </c>
      <c r="C248" s="318">
        <f>Données!C248</f>
        <v>524</v>
      </c>
      <c r="D248" s="319">
        <f>Données!D248</f>
        <v>75</v>
      </c>
      <c r="E248" s="320">
        <f>Données!E248</f>
        <v>1</v>
      </c>
      <c r="F248" s="321">
        <f>Données!F248</f>
        <v>903995.69</v>
      </c>
      <c r="G248" s="321">
        <f>Données!G248</f>
        <v>123172.44</v>
      </c>
      <c r="H248" s="321">
        <f>Données!H248</f>
        <v>12437.05</v>
      </c>
      <c r="I248" s="321">
        <f>Données!I248</f>
        <v>461.2</v>
      </c>
      <c r="J248" s="321">
        <f>Données!J248</f>
        <v>0</v>
      </c>
      <c r="K248" s="321">
        <f>Données!K248</f>
        <v>413.02</v>
      </c>
      <c r="L248" s="321">
        <f>Données!L248</f>
        <v>-1580.16</v>
      </c>
      <c r="M248" s="321">
        <f>Données!M248</f>
        <v>-300</v>
      </c>
      <c r="N248" s="321">
        <f>Données!N248</f>
        <v>1273.3054627361917</v>
      </c>
      <c r="O248" s="321">
        <f>Données!O248</f>
        <v>68912.600000000006</v>
      </c>
      <c r="P248" s="321">
        <f>Données!P248</f>
        <v>14577.07</v>
      </c>
      <c r="Q248" s="321">
        <f>Données!Q248</f>
        <v>2039.2</v>
      </c>
      <c r="R248" s="321">
        <f>Données!R248</f>
        <v>-53.1</v>
      </c>
      <c r="S248" s="313"/>
      <c r="T248" s="302">
        <f t="shared" si="18"/>
        <v>935661.77031927241</v>
      </c>
      <c r="U248" s="322">
        <f t="shared" si="19"/>
        <v>68912.600000000006</v>
      </c>
      <c r="V248" s="322">
        <f t="shared" si="20"/>
        <v>16563.170000000002</v>
      </c>
      <c r="W248" s="323">
        <f t="shared" si="21"/>
        <v>1021137.5403192724</v>
      </c>
      <c r="X248" s="302">
        <f t="shared" si="22"/>
        <v>1948.7357639680772</v>
      </c>
      <c r="Y248" s="324">
        <f t="shared" si="23"/>
        <v>0.58338139449868076</v>
      </c>
    </row>
    <row r="249" spans="1:25" x14ac:dyDescent="0.25">
      <c r="A249" s="148">
        <f>Données!A249</f>
        <v>5831</v>
      </c>
      <c r="B249" s="156" t="str">
        <f>Données!B249</f>
        <v>Valbroye</v>
      </c>
      <c r="C249" s="318">
        <f>Données!C249</f>
        <v>3435</v>
      </c>
      <c r="D249" s="319">
        <f>Données!D249</f>
        <v>70.5</v>
      </c>
      <c r="E249" s="320">
        <f>Données!E249</f>
        <v>0.6</v>
      </c>
      <c r="F249" s="321">
        <f>Données!F249</f>
        <v>4438356.57</v>
      </c>
      <c r="G249" s="321">
        <f>Données!G249</f>
        <v>688286.66</v>
      </c>
      <c r="H249" s="321">
        <f>Données!H249</f>
        <v>273018.40000000002</v>
      </c>
      <c r="I249" s="321">
        <f>Données!I249</f>
        <v>20214</v>
      </c>
      <c r="J249" s="321">
        <f>Données!J249</f>
        <v>0</v>
      </c>
      <c r="K249" s="321">
        <f>Données!K249</f>
        <v>7713.13</v>
      </c>
      <c r="L249" s="321">
        <f>Données!L249</f>
        <v>-88903.91</v>
      </c>
      <c r="M249" s="321">
        <f>Données!M249</f>
        <v>-3550</v>
      </c>
      <c r="N249" s="321">
        <f>Données!N249</f>
        <v>28947.680248967426</v>
      </c>
      <c r="O249" s="321">
        <f>Données!O249</f>
        <v>340271.9</v>
      </c>
      <c r="P249" s="321">
        <f>Données!P249</f>
        <v>171992.8</v>
      </c>
      <c r="Q249" s="321">
        <f>Données!Q249</f>
        <v>35627.15</v>
      </c>
      <c r="R249" s="321">
        <f>Données!R249</f>
        <v>-190.8</v>
      </c>
      <c r="S249" s="313"/>
      <c r="T249" s="302">
        <f t="shared" si="18"/>
        <v>5134597.0933164917</v>
      </c>
      <c r="U249" s="322">
        <f t="shared" si="19"/>
        <v>567119.83333333337</v>
      </c>
      <c r="V249" s="322">
        <f t="shared" si="20"/>
        <v>207429.15</v>
      </c>
      <c r="W249" s="323">
        <f t="shared" si="21"/>
        <v>5909146.0766498251</v>
      </c>
      <c r="X249" s="302">
        <f t="shared" si="22"/>
        <v>1720.2754226054803</v>
      </c>
      <c r="Y249" s="324">
        <f t="shared" si="23"/>
        <v>0.51498858568586947</v>
      </c>
    </row>
    <row r="250" spans="1:25" x14ac:dyDescent="0.25">
      <c r="A250" s="148">
        <f>Données!A250</f>
        <v>5841</v>
      </c>
      <c r="B250" s="156" t="str">
        <f>Données!B250</f>
        <v>Château-d'Oex</v>
      </c>
      <c r="C250" s="318">
        <f>Données!C250</f>
        <v>3656</v>
      </c>
      <c r="D250" s="319">
        <f>Données!D250</f>
        <v>81.5</v>
      </c>
      <c r="E250" s="320">
        <f>Données!E250</f>
        <v>1.5</v>
      </c>
      <c r="F250" s="321">
        <f>Données!F250</f>
        <v>5825117.6699999999</v>
      </c>
      <c r="G250" s="321">
        <f>Données!G250</f>
        <v>1797489.72</v>
      </c>
      <c r="H250" s="321">
        <f>Données!H250</f>
        <v>157399.70000000001</v>
      </c>
      <c r="I250" s="321">
        <f>Données!I250</f>
        <v>23200</v>
      </c>
      <c r="J250" s="321">
        <f>Données!J250</f>
        <v>813757.69</v>
      </c>
      <c r="K250" s="321">
        <f>Données!K250</f>
        <v>30588.06</v>
      </c>
      <c r="L250" s="321">
        <f>Données!L250</f>
        <v>-116418.19</v>
      </c>
      <c r="M250" s="321">
        <f>Données!M250</f>
        <v>9067</v>
      </c>
      <c r="N250" s="321">
        <f>Données!N250</f>
        <v>17828.665483962352</v>
      </c>
      <c r="O250" s="321">
        <f>Données!O250</f>
        <v>1668657</v>
      </c>
      <c r="P250" s="321">
        <f>Données!P250</f>
        <v>448589.12</v>
      </c>
      <c r="Q250" s="321">
        <f>Données!Q250</f>
        <v>5882.55</v>
      </c>
      <c r="R250" s="321">
        <f>Données!R250</f>
        <v>-14362.36</v>
      </c>
      <c r="S250" s="313"/>
      <c r="T250" s="302">
        <f t="shared" si="18"/>
        <v>7086246.3822445357</v>
      </c>
      <c r="U250" s="322">
        <f t="shared" si="19"/>
        <v>1112438</v>
      </c>
      <c r="V250" s="322">
        <f t="shared" si="20"/>
        <v>440109.31</v>
      </c>
      <c r="W250" s="323">
        <f t="shared" si="21"/>
        <v>8638793.6922445353</v>
      </c>
      <c r="X250" s="302">
        <f t="shared" si="22"/>
        <v>2362.9085591478488</v>
      </c>
      <c r="Y250" s="324">
        <f t="shared" si="23"/>
        <v>0.70736983217347149</v>
      </c>
    </row>
    <row r="251" spans="1:25" x14ac:dyDescent="0.25">
      <c r="A251" s="148">
        <f>Données!A251</f>
        <v>5842</v>
      </c>
      <c r="B251" s="156" t="str">
        <f>Données!B251</f>
        <v>Rossinière</v>
      </c>
      <c r="C251" s="318">
        <f>Données!C251</f>
        <v>499</v>
      </c>
      <c r="D251" s="319">
        <f>Données!D251</f>
        <v>81</v>
      </c>
      <c r="E251" s="320">
        <f>Données!E251</f>
        <v>1.5</v>
      </c>
      <c r="F251" s="321">
        <f>Données!F251</f>
        <v>893197.21</v>
      </c>
      <c r="G251" s="321">
        <f>Données!G251</f>
        <v>190209.47</v>
      </c>
      <c r="H251" s="321">
        <f>Données!H251</f>
        <v>32097.9</v>
      </c>
      <c r="I251" s="321">
        <f>Données!I251</f>
        <v>3921.95</v>
      </c>
      <c r="J251" s="321">
        <f>Données!J251</f>
        <v>45819.9</v>
      </c>
      <c r="K251" s="321">
        <f>Données!K251</f>
        <v>0</v>
      </c>
      <c r="L251" s="321">
        <f>Données!L251</f>
        <v>-3112.18</v>
      </c>
      <c r="M251" s="321">
        <f>Données!M251</f>
        <v>0</v>
      </c>
      <c r="N251" s="321">
        <f>Données!N251</f>
        <v>3555.8522878637191</v>
      </c>
      <c r="O251" s="321">
        <f>Données!O251</f>
        <v>151097.75</v>
      </c>
      <c r="P251" s="321">
        <f>Données!P251</f>
        <v>20211.2</v>
      </c>
      <c r="Q251" s="321">
        <f>Données!Q251</f>
        <v>544.85</v>
      </c>
      <c r="R251" s="321">
        <f>Données!R251</f>
        <v>-571.42999999999995</v>
      </c>
      <c r="S251" s="313"/>
      <c r="T251" s="302">
        <f t="shared" si="18"/>
        <v>971176.41386928584</v>
      </c>
      <c r="U251" s="322">
        <f t="shared" si="19"/>
        <v>100731.83333333333</v>
      </c>
      <c r="V251" s="322">
        <f t="shared" si="20"/>
        <v>20184.62</v>
      </c>
      <c r="W251" s="323">
        <f t="shared" si="21"/>
        <v>1092092.8672026193</v>
      </c>
      <c r="X251" s="302">
        <f t="shared" si="22"/>
        <v>2188.5628601254898</v>
      </c>
      <c r="Y251" s="324">
        <f t="shared" si="23"/>
        <v>0.65517700085117569</v>
      </c>
    </row>
    <row r="252" spans="1:25" x14ac:dyDescent="0.25">
      <c r="A252" s="148">
        <f>Données!A252</f>
        <v>5843</v>
      </c>
      <c r="B252" s="156" t="str">
        <f>Données!B252</f>
        <v>Rougemont</v>
      </c>
      <c r="C252" s="318">
        <f>Données!C252</f>
        <v>812</v>
      </c>
      <c r="D252" s="319">
        <f>Données!D252</f>
        <v>79</v>
      </c>
      <c r="E252" s="320">
        <f>Données!E252</f>
        <v>1.5</v>
      </c>
      <c r="F252" s="321">
        <f>Données!F252</f>
        <v>2074740.24</v>
      </c>
      <c r="G252" s="321">
        <f>Données!G252</f>
        <v>2269077.14</v>
      </c>
      <c r="H252" s="321">
        <f>Données!H252</f>
        <v>118403.7</v>
      </c>
      <c r="I252" s="321">
        <f>Données!I252</f>
        <v>22476.95</v>
      </c>
      <c r="J252" s="321">
        <f>Données!J252</f>
        <v>1389707.16</v>
      </c>
      <c r="K252" s="321">
        <f>Données!K252</f>
        <v>1490.95</v>
      </c>
      <c r="L252" s="321">
        <f>Données!L252</f>
        <v>-16582.93</v>
      </c>
      <c r="M252" s="321">
        <f>Données!M252</f>
        <v>0</v>
      </c>
      <c r="N252" s="321">
        <f>Données!N252</f>
        <v>13907.630976204173</v>
      </c>
      <c r="O252" s="321">
        <f>Données!O252</f>
        <v>1326009.25</v>
      </c>
      <c r="P252" s="321">
        <f>Données!P252</f>
        <v>126705.3</v>
      </c>
      <c r="Q252" s="321">
        <f>Données!Q252</f>
        <v>32505.75</v>
      </c>
      <c r="R252" s="321">
        <f>Données!R252</f>
        <v>-29430.42</v>
      </c>
      <c r="S252" s="313"/>
      <c r="T252" s="302">
        <f t="shared" si="18"/>
        <v>5017059.7861664118</v>
      </c>
      <c r="U252" s="322">
        <f t="shared" si="19"/>
        <v>884006.16666666663</v>
      </c>
      <c r="V252" s="322">
        <f t="shared" si="20"/>
        <v>129780.62999999999</v>
      </c>
      <c r="W252" s="323">
        <f t="shared" si="21"/>
        <v>6030846.5828330787</v>
      </c>
      <c r="X252" s="302">
        <f t="shared" si="22"/>
        <v>7427.150964080146</v>
      </c>
      <c r="Y252" s="324">
        <f t="shared" si="23"/>
        <v>2.2234218546667339</v>
      </c>
    </row>
    <row r="253" spans="1:25" x14ac:dyDescent="0.25">
      <c r="A253" s="148">
        <f>Données!A253</f>
        <v>5851</v>
      </c>
      <c r="B253" s="156" t="str">
        <f>Données!B253</f>
        <v>Allaman</v>
      </c>
      <c r="C253" s="318">
        <f>Données!C253</f>
        <v>430</v>
      </c>
      <c r="D253" s="319">
        <f>Données!D253</f>
        <v>65</v>
      </c>
      <c r="E253" s="320">
        <f>Données!E253</f>
        <v>1.2</v>
      </c>
      <c r="F253" s="321">
        <f>Données!F253</f>
        <v>865473.16</v>
      </c>
      <c r="G253" s="321">
        <f>Données!G253</f>
        <v>181692.84</v>
      </c>
      <c r="H253" s="321">
        <f>Données!H253</f>
        <v>168739.1</v>
      </c>
      <c r="I253" s="321">
        <f>Données!I253</f>
        <v>28372.55</v>
      </c>
      <c r="J253" s="321">
        <f>Données!J253</f>
        <v>292503.05</v>
      </c>
      <c r="K253" s="321">
        <f>Données!K253</f>
        <v>1556.26</v>
      </c>
      <c r="L253" s="321">
        <f>Données!L253</f>
        <v>-7737.75</v>
      </c>
      <c r="M253" s="321">
        <f>Données!M253</f>
        <v>0</v>
      </c>
      <c r="N253" s="321">
        <f>Données!N253</f>
        <v>19458.712671404592</v>
      </c>
      <c r="O253" s="321">
        <f>Données!O253</f>
        <v>273083.3</v>
      </c>
      <c r="P253" s="321">
        <f>Données!P253</f>
        <v>36682.89</v>
      </c>
      <c r="Q253" s="321">
        <f>Données!Q253</f>
        <v>-10940.6</v>
      </c>
      <c r="R253" s="321">
        <f>Données!R253</f>
        <v>-684.38</v>
      </c>
      <c r="S253" s="313"/>
      <c r="T253" s="302">
        <f t="shared" si="18"/>
        <v>1609291.0909193209</v>
      </c>
      <c r="U253" s="322">
        <f t="shared" si="19"/>
        <v>227569.41666666666</v>
      </c>
      <c r="V253" s="322">
        <f t="shared" si="20"/>
        <v>25057.91</v>
      </c>
      <c r="W253" s="323">
        <f t="shared" si="21"/>
        <v>1861918.4175859876</v>
      </c>
      <c r="X253" s="302">
        <f t="shared" si="22"/>
        <v>4330.0428315953204</v>
      </c>
      <c r="Y253" s="324">
        <f t="shared" si="23"/>
        <v>1.2962590783428936</v>
      </c>
    </row>
    <row r="254" spans="1:25" x14ac:dyDescent="0.25">
      <c r="A254" s="148">
        <f>Données!A254</f>
        <v>5852</v>
      </c>
      <c r="B254" s="156" t="str">
        <f>Données!B254</f>
        <v>Bursinel</v>
      </c>
      <c r="C254" s="318">
        <f>Données!C254</f>
        <v>530</v>
      </c>
      <c r="D254" s="319">
        <f>Données!D254</f>
        <v>62</v>
      </c>
      <c r="E254" s="320">
        <f>Données!E254</f>
        <v>0.75</v>
      </c>
      <c r="F254" s="321">
        <f>Données!F254</f>
        <v>1690561.7</v>
      </c>
      <c r="G254" s="321">
        <f>Données!G254</f>
        <v>558909.99</v>
      </c>
      <c r="H254" s="321">
        <f>Données!H254</f>
        <v>-19979.900000000001</v>
      </c>
      <c r="I254" s="321">
        <f>Données!I254</f>
        <v>7736.45</v>
      </c>
      <c r="J254" s="321">
        <f>Données!J254</f>
        <v>265183.87</v>
      </c>
      <c r="K254" s="321">
        <f>Données!K254</f>
        <v>0</v>
      </c>
      <c r="L254" s="321">
        <f>Données!L254</f>
        <v>-3902.17</v>
      </c>
      <c r="M254" s="321">
        <f>Données!M254</f>
        <v>-193</v>
      </c>
      <c r="N254" s="321">
        <f>Données!N254</f>
        <v>-1208.6641030944065</v>
      </c>
      <c r="O254" s="321">
        <f>Données!O254</f>
        <v>151082.20000000001</v>
      </c>
      <c r="P254" s="321">
        <f>Données!P254</f>
        <v>5188.38</v>
      </c>
      <c r="Q254" s="321">
        <f>Données!Q254</f>
        <v>12004.85</v>
      </c>
      <c r="R254" s="321">
        <f>Données!R254</f>
        <v>-53443.17</v>
      </c>
      <c r="S254" s="313"/>
      <c r="T254" s="302">
        <f t="shared" si="18"/>
        <v>2717976.647055021</v>
      </c>
      <c r="U254" s="322">
        <f t="shared" si="19"/>
        <v>201442.93333333335</v>
      </c>
      <c r="V254" s="322">
        <f t="shared" si="20"/>
        <v>-36249.94</v>
      </c>
      <c r="W254" s="323">
        <f t="shared" si="21"/>
        <v>2883169.6403883542</v>
      </c>
      <c r="X254" s="302">
        <f t="shared" si="22"/>
        <v>5439.9427177138759</v>
      </c>
      <c r="Y254" s="324">
        <f t="shared" si="23"/>
        <v>1.6285231827381041</v>
      </c>
    </row>
    <row r="255" spans="1:25" x14ac:dyDescent="0.25">
      <c r="A255" s="148">
        <f>Données!A255</f>
        <v>5853</v>
      </c>
      <c r="B255" s="156" t="str">
        <f>Données!B255</f>
        <v>Bursins</v>
      </c>
      <c r="C255" s="318">
        <f>Données!C255</f>
        <v>825</v>
      </c>
      <c r="D255" s="319">
        <f>Données!D255</f>
        <v>71</v>
      </c>
      <c r="E255" s="320">
        <f>Données!E255</f>
        <v>1</v>
      </c>
      <c r="F255" s="321">
        <f>Données!F255</f>
        <v>2164438.31</v>
      </c>
      <c r="G255" s="321">
        <f>Données!G255</f>
        <v>465764.39</v>
      </c>
      <c r="H255" s="321">
        <f>Données!H255</f>
        <v>92269.4</v>
      </c>
      <c r="I255" s="321">
        <f>Données!I255</f>
        <v>1315.7</v>
      </c>
      <c r="J255" s="321">
        <f>Données!J255</f>
        <v>250191.8</v>
      </c>
      <c r="K255" s="321">
        <f>Données!K255</f>
        <v>6017.2</v>
      </c>
      <c r="L255" s="321">
        <f>Données!L255</f>
        <v>-77949.36</v>
      </c>
      <c r="M255" s="321">
        <f>Données!M255</f>
        <v>0</v>
      </c>
      <c r="N255" s="321">
        <f>Données!N255</f>
        <v>9238.6501316622616</v>
      </c>
      <c r="O255" s="321">
        <f>Données!O255</f>
        <v>231020.79999999999</v>
      </c>
      <c r="P255" s="321">
        <f>Données!P255</f>
        <v>58204.160000000003</v>
      </c>
      <c r="Q255" s="321">
        <f>Données!Q255</f>
        <v>-3460.75</v>
      </c>
      <c r="R255" s="321">
        <f>Données!R255</f>
        <v>-2130.1999999999998</v>
      </c>
      <c r="S255" s="313"/>
      <c r="T255" s="302">
        <f t="shared" si="18"/>
        <v>2767110.9509065147</v>
      </c>
      <c r="U255" s="322">
        <f t="shared" si="19"/>
        <v>231020.79999999999</v>
      </c>
      <c r="V255" s="322">
        <f t="shared" si="20"/>
        <v>52613.210000000006</v>
      </c>
      <c r="W255" s="323">
        <f t="shared" si="21"/>
        <v>3050744.9609065144</v>
      </c>
      <c r="X255" s="302">
        <f t="shared" si="22"/>
        <v>3697.8726798866842</v>
      </c>
      <c r="Y255" s="324">
        <f t="shared" si="23"/>
        <v>1.1070100731759374</v>
      </c>
    </row>
    <row r="256" spans="1:25" x14ac:dyDescent="0.25">
      <c r="A256" s="148">
        <f>Données!A256</f>
        <v>5854</v>
      </c>
      <c r="B256" s="156" t="str">
        <f>Données!B256</f>
        <v>Burtigny</v>
      </c>
      <c r="C256" s="318">
        <f>Données!C256</f>
        <v>401</v>
      </c>
      <c r="D256" s="319">
        <f>Données!D256</f>
        <v>75</v>
      </c>
      <c r="E256" s="320">
        <f>Données!E256</f>
        <v>1.5</v>
      </c>
      <c r="F256" s="321">
        <f>Données!F256</f>
        <v>937757.06</v>
      </c>
      <c r="G256" s="321">
        <f>Données!G256</f>
        <v>194274.55</v>
      </c>
      <c r="H256" s="321">
        <f>Données!H256</f>
        <v>23727.05</v>
      </c>
      <c r="I256" s="321">
        <f>Données!I256</f>
        <v>1967.8</v>
      </c>
      <c r="J256" s="321">
        <f>Données!J256</f>
        <v>0</v>
      </c>
      <c r="K256" s="321">
        <f>Données!K256</f>
        <v>0</v>
      </c>
      <c r="L256" s="321">
        <f>Données!L256</f>
        <v>-769.08</v>
      </c>
      <c r="M256" s="321">
        <f>Données!M256</f>
        <v>0</v>
      </c>
      <c r="N256" s="321">
        <f>Données!N256</f>
        <v>2536.5761145261595</v>
      </c>
      <c r="O256" s="321">
        <f>Données!O256</f>
        <v>121207.1</v>
      </c>
      <c r="P256" s="321">
        <f>Données!P256</f>
        <v>5845.31</v>
      </c>
      <c r="Q256" s="321">
        <f>Données!Q256</f>
        <v>2086.9</v>
      </c>
      <c r="R256" s="321">
        <f>Données!R256</f>
        <v>-527.5</v>
      </c>
      <c r="S256" s="313"/>
      <c r="T256" s="302">
        <f t="shared" si="18"/>
        <v>1043295.3272844069</v>
      </c>
      <c r="U256" s="322">
        <f t="shared" si="19"/>
        <v>80804.733333333337</v>
      </c>
      <c r="V256" s="322">
        <f t="shared" si="20"/>
        <v>7404.7100000000009</v>
      </c>
      <c r="W256" s="323">
        <f t="shared" si="21"/>
        <v>1131504.7706177402</v>
      </c>
      <c r="X256" s="302">
        <f t="shared" si="22"/>
        <v>2821.7076574008483</v>
      </c>
      <c r="Y256" s="324">
        <f t="shared" si="23"/>
        <v>0.84471777984420382</v>
      </c>
    </row>
    <row r="257" spans="1:25" x14ac:dyDescent="0.25">
      <c r="A257" s="148">
        <f>Données!A257</f>
        <v>5855</v>
      </c>
      <c r="B257" s="156" t="str">
        <f>Données!B257</f>
        <v>Dully</v>
      </c>
      <c r="C257" s="318">
        <f>Données!C257</f>
        <v>623</v>
      </c>
      <c r="D257" s="319">
        <f>Données!D257</f>
        <v>53</v>
      </c>
      <c r="E257" s="320">
        <f>Données!E257</f>
        <v>1</v>
      </c>
      <c r="F257" s="321">
        <f>Données!F257</f>
        <v>2028843.8</v>
      </c>
      <c r="G257" s="321">
        <f>Données!G257</f>
        <v>1632979.46</v>
      </c>
      <c r="H257" s="321">
        <f>Données!H257</f>
        <v>60071.9</v>
      </c>
      <c r="I257" s="321">
        <f>Données!I257</f>
        <v>37836.85</v>
      </c>
      <c r="J257" s="321">
        <f>Données!J257</f>
        <v>1048846.4099999999</v>
      </c>
      <c r="K257" s="321">
        <f>Données!K257</f>
        <v>87481.55</v>
      </c>
      <c r="L257" s="321">
        <f>Données!L257</f>
        <v>-89974.71</v>
      </c>
      <c r="M257" s="321">
        <f>Données!M257</f>
        <v>-13450</v>
      </c>
      <c r="N257" s="321">
        <f>Données!N257</f>
        <v>9665.4775822047268</v>
      </c>
      <c r="O257" s="321">
        <f>Données!O257</f>
        <v>394439.2</v>
      </c>
      <c r="P257" s="321">
        <f>Données!P257</f>
        <v>42497.71</v>
      </c>
      <c r="Q257" s="321">
        <f>Données!Q257</f>
        <v>17249</v>
      </c>
      <c r="R257" s="321">
        <f>Données!R257</f>
        <v>-22853.72</v>
      </c>
      <c r="S257" s="313"/>
      <c r="T257" s="302">
        <f t="shared" si="18"/>
        <v>6114676.9943069741</v>
      </c>
      <c r="U257" s="322">
        <f t="shared" si="19"/>
        <v>394439.2</v>
      </c>
      <c r="V257" s="322">
        <f t="shared" si="20"/>
        <v>36892.99</v>
      </c>
      <c r="W257" s="323">
        <f t="shared" si="21"/>
        <v>6546009.1843069745</v>
      </c>
      <c r="X257" s="302">
        <f t="shared" si="22"/>
        <v>10507.237856030457</v>
      </c>
      <c r="Y257" s="324">
        <f t="shared" si="23"/>
        <v>3.1454890838041751</v>
      </c>
    </row>
    <row r="258" spans="1:25" x14ac:dyDescent="0.25">
      <c r="A258" s="148">
        <f>Données!A258</f>
        <v>5856</v>
      </c>
      <c r="B258" s="156" t="str">
        <f>Données!B258</f>
        <v>Essertines-sur-Rolle</v>
      </c>
      <c r="C258" s="318">
        <f>Données!C258</f>
        <v>789</v>
      </c>
      <c r="D258" s="319">
        <f>Données!D258</f>
        <v>66.5</v>
      </c>
      <c r="E258" s="320">
        <f>Données!E258</f>
        <v>1.3</v>
      </c>
      <c r="F258" s="321">
        <f>Données!F258</f>
        <v>1715533.42</v>
      </c>
      <c r="G258" s="321">
        <f>Données!G258</f>
        <v>260136.68</v>
      </c>
      <c r="H258" s="321">
        <f>Données!H258</f>
        <v>1024.25</v>
      </c>
      <c r="I258" s="321">
        <f>Données!I258</f>
        <v>1811.55</v>
      </c>
      <c r="J258" s="321">
        <f>Données!J258</f>
        <v>230468.2</v>
      </c>
      <c r="K258" s="321">
        <f>Données!K258</f>
        <v>0</v>
      </c>
      <c r="L258" s="321">
        <f>Données!L258</f>
        <v>-776.45</v>
      </c>
      <c r="M258" s="321">
        <f>Données!M258</f>
        <v>-7000</v>
      </c>
      <c r="N258" s="321">
        <f>Données!N258</f>
        <v>279.94802637778713</v>
      </c>
      <c r="O258" s="321">
        <f>Données!O258</f>
        <v>268406.3</v>
      </c>
      <c r="P258" s="321">
        <f>Données!P258</f>
        <v>21022.47</v>
      </c>
      <c r="Q258" s="321">
        <f>Données!Q258</f>
        <v>2966.5</v>
      </c>
      <c r="R258" s="321">
        <f>Données!R258</f>
        <v>-3138.3</v>
      </c>
      <c r="S258" s="313"/>
      <c r="T258" s="302">
        <f t="shared" si="18"/>
        <v>2234048.8315350162</v>
      </c>
      <c r="U258" s="322">
        <f t="shared" si="19"/>
        <v>206466.3846153846</v>
      </c>
      <c r="V258" s="322">
        <f t="shared" si="20"/>
        <v>20850.670000000002</v>
      </c>
      <c r="W258" s="323">
        <f t="shared" si="21"/>
        <v>2461365.8861504006</v>
      </c>
      <c r="X258" s="302">
        <f t="shared" si="22"/>
        <v>3119.6018835873265</v>
      </c>
      <c r="Y258" s="324">
        <f t="shared" si="23"/>
        <v>0.93389659633593003</v>
      </c>
    </row>
    <row r="259" spans="1:25" x14ac:dyDescent="0.25">
      <c r="A259" s="148">
        <f>Données!A259</f>
        <v>5857</v>
      </c>
      <c r="B259" s="156" t="str">
        <f>Données!B259</f>
        <v>Gilly</v>
      </c>
      <c r="C259" s="318">
        <f>Données!C259</f>
        <v>1441</v>
      </c>
      <c r="D259" s="319">
        <f>Données!D259</f>
        <v>64.5</v>
      </c>
      <c r="E259" s="320">
        <f>Données!E259</f>
        <v>1</v>
      </c>
      <c r="F259" s="321">
        <f>Données!F259</f>
        <v>4760998.05</v>
      </c>
      <c r="G259" s="321">
        <f>Données!G259</f>
        <v>929669.16</v>
      </c>
      <c r="H259" s="321">
        <f>Données!H259</f>
        <v>30302.7</v>
      </c>
      <c r="I259" s="321">
        <f>Données!I259</f>
        <v>-1384.6</v>
      </c>
      <c r="J259" s="321">
        <f>Données!J259</f>
        <v>0</v>
      </c>
      <c r="K259" s="321">
        <f>Données!K259</f>
        <v>285.89999999999998</v>
      </c>
      <c r="L259" s="321">
        <f>Données!L259</f>
        <v>-16103.92</v>
      </c>
      <c r="M259" s="321">
        <f>Données!M259</f>
        <v>-2450</v>
      </c>
      <c r="N259" s="321">
        <f>Données!N259</f>
        <v>2854.7729112051225</v>
      </c>
      <c r="O259" s="321">
        <f>Données!O259</f>
        <v>429328.85</v>
      </c>
      <c r="P259" s="321">
        <f>Données!P259</f>
        <v>81915.14</v>
      </c>
      <c r="Q259" s="321">
        <f>Données!Q259</f>
        <v>21380.05</v>
      </c>
      <c r="R259" s="321">
        <f>Données!R259</f>
        <v>-3419.6</v>
      </c>
      <c r="S259" s="313"/>
      <c r="T259" s="302">
        <f t="shared" si="18"/>
        <v>5968056.6800820734</v>
      </c>
      <c r="U259" s="322">
        <f t="shared" si="19"/>
        <v>429328.85</v>
      </c>
      <c r="V259" s="322">
        <f t="shared" si="20"/>
        <v>99875.59</v>
      </c>
      <c r="W259" s="323">
        <f t="shared" si="21"/>
        <v>6497261.1200820729</v>
      </c>
      <c r="X259" s="302">
        <f t="shared" si="22"/>
        <v>4508.855739127046</v>
      </c>
      <c r="Y259" s="324">
        <f t="shared" si="23"/>
        <v>1.349789231213804</v>
      </c>
    </row>
    <row r="260" spans="1:25" x14ac:dyDescent="0.25">
      <c r="A260" s="148">
        <f>Données!A260</f>
        <v>5858</v>
      </c>
      <c r="B260" s="156" t="str">
        <f>Données!B260</f>
        <v>Luins</v>
      </c>
      <c r="C260" s="318">
        <f>Données!C260</f>
        <v>637</v>
      </c>
      <c r="D260" s="319">
        <f>Données!D260</f>
        <v>58.5</v>
      </c>
      <c r="E260" s="320">
        <f>Données!E260</f>
        <v>1.5</v>
      </c>
      <c r="F260" s="321">
        <f>Données!F260</f>
        <v>1737548.99</v>
      </c>
      <c r="G260" s="321">
        <f>Données!G260</f>
        <v>364600.08</v>
      </c>
      <c r="H260" s="321">
        <f>Données!H260</f>
        <v>14135.95</v>
      </c>
      <c r="I260" s="321">
        <f>Données!I260</f>
        <v>1454.6</v>
      </c>
      <c r="J260" s="321">
        <f>Données!J260</f>
        <v>98270.3</v>
      </c>
      <c r="K260" s="321">
        <f>Données!K260</f>
        <v>9306.7000000000007</v>
      </c>
      <c r="L260" s="321">
        <f>Données!L260</f>
        <v>-39924</v>
      </c>
      <c r="M260" s="321">
        <f>Données!M260</f>
        <v>0</v>
      </c>
      <c r="N260" s="321">
        <f>Données!N260</f>
        <v>1539.0872778913213</v>
      </c>
      <c r="O260" s="321">
        <f>Données!O260</f>
        <v>254656.15</v>
      </c>
      <c r="P260" s="321">
        <f>Données!P260</f>
        <v>54504.56</v>
      </c>
      <c r="Q260" s="321">
        <f>Données!Q260</f>
        <v>1298.4000000000001</v>
      </c>
      <c r="R260" s="321">
        <f>Données!R260</f>
        <v>-2098.9499999999998</v>
      </c>
      <c r="S260" s="313"/>
      <c r="T260" s="302">
        <f t="shared" si="18"/>
        <v>2522780.0712733371</v>
      </c>
      <c r="U260" s="322">
        <f t="shared" si="19"/>
        <v>169770.76666666666</v>
      </c>
      <c r="V260" s="322">
        <f t="shared" si="20"/>
        <v>53704.01</v>
      </c>
      <c r="W260" s="323">
        <f t="shared" si="21"/>
        <v>2746254.8479400035</v>
      </c>
      <c r="X260" s="302">
        <f t="shared" si="22"/>
        <v>4311.232100376772</v>
      </c>
      <c r="Y260" s="324">
        <f t="shared" si="23"/>
        <v>1.2906278220111109</v>
      </c>
    </row>
    <row r="261" spans="1:25" x14ac:dyDescent="0.25">
      <c r="A261" s="148">
        <f>Données!A261</f>
        <v>5859</v>
      </c>
      <c r="B261" s="156" t="str">
        <f>Données!B261</f>
        <v>Mont-sur-Rolle</v>
      </c>
      <c r="C261" s="318">
        <f>Données!C261</f>
        <v>2749</v>
      </c>
      <c r="D261" s="319">
        <f>Données!D261</f>
        <v>63.5</v>
      </c>
      <c r="E261" s="320">
        <f>Données!E261</f>
        <v>1</v>
      </c>
      <c r="F261" s="321">
        <f>Données!F261</f>
        <v>7853278.9800000004</v>
      </c>
      <c r="G261" s="321">
        <f>Données!G261</f>
        <v>1888691.68</v>
      </c>
      <c r="H261" s="321">
        <f>Données!H261</f>
        <v>107437.15</v>
      </c>
      <c r="I261" s="321">
        <f>Données!I261</f>
        <v>43125.3</v>
      </c>
      <c r="J261" s="321">
        <f>Données!J261</f>
        <v>387934.9</v>
      </c>
      <c r="K261" s="321">
        <f>Données!K261</f>
        <v>212.81</v>
      </c>
      <c r="L261" s="321">
        <f>Données!L261</f>
        <v>-29708.12</v>
      </c>
      <c r="M261" s="321">
        <f>Données!M261</f>
        <v>-2500</v>
      </c>
      <c r="N261" s="321">
        <f>Données!N261</f>
        <v>14863.410933106798</v>
      </c>
      <c r="O261" s="321">
        <f>Données!O261</f>
        <v>720732.65</v>
      </c>
      <c r="P261" s="321">
        <f>Données!P261</f>
        <v>131610.04999999999</v>
      </c>
      <c r="Q261" s="321">
        <f>Données!Q261</f>
        <v>27593.8</v>
      </c>
      <c r="R261" s="321">
        <f>Données!R261</f>
        <v>-23361.11</v>
      </c>
      <c r="S261" s="313"/>
      <c r="T261" s="302">
        <f t="shared" si="18"/>
        <v>10907239.837566715</v>
      </c>
      <c r="U261" s="322">
        <f t="shared" si="19"/>
        <v>720732.65</v>
      </c>
      <c r="V261" s="322">
        <f t="shared" si="20"/>
        <v>135842.74</v>
      </c>
      <c r="W261" s="323">
        <f t="shared" si="21"/>
        <v>11763815.227566715</v>
      </c>
      <c r="X261" s="302">
        <f t="shared" si="22"/>
        <v>4279.3071035164476</v>
      </c>
      <c r="Y261" s="324">
        <f t="shared" si="23"/>
        <v>1.281070626247526</v>
      </c>
    </row>
    <row r="262" spans="1:25" x14ac:dyDescent="0.25">
      <c r="A262" s="148">
        <f>Données!A262</f>
        <v>5860</v>
      </c>
      <c r="B262" s="156" t="str">
        <f>Données!B262</f>
        <v>Perroy</v>
      </c>
      <c r="C262" s="318">
        <f>Données!C262</f>
        <v>1588</v>
      </c>
      <c r="D262" s="319">
        <f>Données!D262</f>
        <v>58.5</v>
      </c>
      <c r="E262" s="320">
        <f>Données!E262</f>
        <v>1.3</v>
      </c>
      <c r="F262" s="321">
        <f>Données!F262</f>
        <v>4058518.73</v>
      </c>
      <c r="G262" s="321">
        <f>Données!G262</f>
        <v>1420303.77</v>
      </c>
      <c r="H262" s="321">
        <f>Données!H262</f>
        <v>116619.05</v>
      </c>
      <c r="I262" s="321">
        <f>Données!I262</f>
        <v>19276.599999999999</v>
      </c>
      <c r="J262" s="321">
        <f>Données!J262</f>
        <v>486682.68</v>
      </c>
      <c r="K262" s="321">
        <f>Données!K262</f>
        <v>10718.56</v>
      </c>
      <c r="L262" s="321">
        <f>Données!L262</f>
        <v>-35574.550000000003</v>
      </c>
      <c r="M262" s="321">
        <f>Données!M262</f>
        <v>-150</v>
      </c>
      <c r="N262" s="321">
        <f>Données!N262</f>
        <v>13415.515554985021</v>
      </c>
      <c r="O262" s="321">
        <f>Données!O262</f>
        <v>752269.35</v>
      </c>
      <c r="P262" s="321">
        <f>Données!P262</f>
        <v>53184.35</v>
      </c>
      <c r="Q262" s="321">
        <f>Données!Q262</f>
        <v>39295.9</v>
      </c>
      <c r="R262" s="321">
        <f>Données!R262</f>
        <v>-43149.64</v>
      </c>
      <c r="S262" s="313"/>
      <c r="T262" s="302">
        <f t="shared" si="18"/>
        <v>7025026.0452581728</v>
      </c>
      <c r="U262" s="322">
        <f t="shared" si="19"/>
        <v>578668.73076923075</v>
      </c>
      <c r="V262" s="322">
        <f t="shared" si="20"/>
        <v>49330.61</v>
      </c>
      <c r="W262" s="323">
        <f t="shared" si="21"/>
        <v>7653025.3860274041</v>
      </c>
      <c r="X262" s="302">
        <f t="shared" si="22"/>
        <v>4819.2855075739317</v>
      </c>
      <c r="Y262" s="324">
        <f t="shared" si="23"/>
        <v>1.4427207381728016</v>
      </c>
    </row>
    <row r="263" spans="1:25" x14ac:dyDescent="0.25">
      <c r="A263" s="148">
        <f>Données!A263</f>
        <v>5861</v>
      </c>
      <c r="B263" s="156" t="str">
        <f>Données!B263</f>
        <v>Rolle</v>
      </c>
      <c r="C263" s="318">
        <f>Données!C263</f>
        <v>6537</v>
      </c>
      <c r="D263" s="319">
        <f>Données!D263</f>
        <v>59.5</v>
      </c>
      <c r="E263" s="320">
        <f>Données!E263</f>
        <v>1</v>
      </c>
      <c r="F263" s="321">
        <f>Données!F263</f>
        <v>14083487.310000001</v>
      </c>
      <c r="G263" s="321">
        <f>Données!G263</f>
        <v>3154304.21</v>
      </c>
      <c r="H263" s="321">
        <f>Données!H263</f>
        <v>28004428.25</v>
      </c>
      <c r="I263" s="321">
        <f>Données!I263</f>
        <v>3994456.8499999996</v>
      </c>
      <c r="J263" s="321">
        <f>Données!J263</f>
        <v>318902.87</v>
      </c>
      <c r="K263" s="321">
        <f>Données!K263</f>
        <v>62233.17</v>
      </c>
      <c r="L263" s="321">
        <f>Données!L263</f>
        <v>-247662.71</v>
      </c>
      <c r="M263" s="321">
        <f>Données!M263</f>
        <v>-30677</v>
      </c>
      <c r="N263" s="321">
        <f>Données!N263</f>
        <v>3158905.6809487902</v>
      </c>
      <c r="O263" s="321">
        <f>Données!O263</f>
        <v>1992797.5</v>
      </c>
      <c r="P263" s="321">
        <f>Données!P263</f>
        <v>861848.21</v>
      </c>
      <c r="Q263" s="321">
        <f>Données!Q263</f>
        <v>365876.25</v>
      </c>
      <c r="R263" s="321">
        <f>Données!R263</f>
        <v>-131720.28</v>
      </c>
      <c r="S263" s="313"/>
      <c r="T263" s="302">
        <f t="shared" si="18"/>
        <v>59542759.968520805</v>
      </c>
      <c r="U263" s="322">
        <f t="shared" si="19"/>
        <v>1992797.5</v>
      </c>
      <c r="V263" s="322">
        <f t="shared" si="20"/>
        <v>1096004.18</v>
      </c>
      <c r="W263" s="323">
        <f t="shared" si="21"/>
        <v>62631561.648520805</v>
      </c>
      <c r="X263" s="302">
        <f t="shared" si="22"/>
        <v>9581.0863773169349</v>
      </c>
      <c r="Y263" s="324">
        <f t="shared" si="23"/>
        <v>2.8682326434190841</v>
      </c>
    </row>
    <row r="264" spans="1:25" x14ac:dyDescent="0.25">
      <c r="A264" s="148">
        <f>Données!A264</f>
        <v>5862</v>
      </c>
      <c r="B264" s="156" t="str">
        <f>Données!B264</f>
        <v>Tartegnin</v>
      </c>
      <c r="C264" s="318">
        <f>Données!C264</f>
        <v>238</v>
      </c>
      <c r="D264" s="319">
        <f>Données!D264</f>
        <v>79</v>
      </c>
      <c r="E264" s="320">
        <f>Données!E264</f>
        <v>1</v>
      </c>
      <c r="F264" s="321">
        <f>Données!F264</f>
        <v>766026.35</v>
      </c>
      <c r="G264" s="321">
        <f>Données!G264</f>
        <v>68695.77</v>
      </c>
      <c r="H264" s="321">
        <f>Données!H264</f>
        <v>5715.05</v>
      </c>
      <c r="I264" s="321">
        <f>Données!I264</f>
        <v>1375.9</v>
      </c>
      <c r="J264" s="321">
        <f>Données!J264</f>
        <v>0</v>
      </c>
      <c r="K264" s="321">
        <f>Données!K264</f>
        <v>0</v>
      </c>
      <c r="L264" s="321">
        <f>Données!L264</f>
        <v>-4001.47</v>
      </c>
      <c r="M264" s="321">
        <f>Données!M264</f>
        <v>0</v>
      </c>
      <c r="N264" s="321">
        <f>Données!N264</f>
        <v>700.01320884532402</v>
      </c>
      <c r="O264" s="321">
        <f>Données!O264</f>
        <v>50741</v>
      </c>
      <c r="P264" s="321">
        <f>Données!P264</f>
        <v>84722.65</v>
      </c>
      <c r="Q264" s="321">
        <f>Données!Q264</f>
        <v>3988.35</v>
      </c>
      <c r="R264" s="321">
        <f>Données!R264</f>
        <v>-68.75</v>
      </c>
      <c r="S264" s="313"/>
      <c r="T264" s="302">
        <f t="shared" ref="T264:T307" si="24">(SUM(F264:N264)/D264*$T$4)</f>
        <v>716278.68400814093</v>
      </c>
      <c r="U264" s="322">
        <f t="shared" ref="U264:U307" si="25">O264/E264*$U$4</f>
        <v>50741</v>
      </c>
      <c r="V264" s="322">
        <f t="shared" ref="V264:V307" si="26">SUM(P264:R264)</f>
        <v>88642.25</v>
      </c>
      <c r="W264" s="323">
        <f t="shared" ref="W264:W308" si="27">SUM(T264:V264)</f>
        <v>855661.93400814093</v>
      </c>
      <c r="X264" s="302">
        <f t="shared" ref="X264:X308" si="28">W264/C264</f>
        <v>3595.2182101182393</v>
      </c>
      <c r="Y264" s="324">
        <f t="shared" ref="Y264:Y308" si="29">X264/$X$308</f>
        <v>1.0762790172614636</v>
      </c>
    </row>
    <row r="265" spans="1:25" x14ac:dyDescent="0.25">
      <c r="A265" s="148">
        <f>Données!A265</f>
        <v>5863</v>
      </c>
      <c r="B265" s="156" t="str">
        <f>Données!B265</f>
        <v>Vinzel</v>
      </c>
      <c r="C265" s="318">
        <f>Données!C265</f>
        <v>387</v>
      </c>
      <c r="D265" s="319">
        <f>Données!D265</f>
        <v>65</v>
      </c>
      <c r="E265" s="320">
        <f>Données!E265</f>
        <v>1</v>
      </c>
      <c r="F265" s="321">
        <f>Données!F265</f>
        <v>945366.33</v>
      </c>
      <c r="G265" s="321">
        <f>Données!G265</f>
        <v>211355.49</v>
      </c>
      <c r="H265" s="321">
        <f>Données!H265</f>
        <v>18436.849999999999</v>
      </c>
      <c r="I265" s="321">
        <f>Données!I265</f>
        <v>9984.6</v>
      </c>
      <c r="J265" s="321">
        <f>Données!J265</f>
        <v>30606.55</v>
      </c>
      <c r="K265" s="321">
        <f>Données!K265</f>
        <v>0</v>
      </c>
      <c r="L265" s="321">
        <f>Données!L265</f>
        <v>-3587.75</v>
      </c>
      <c r="M265" s="321">
        <f>Données!M265</f>
        <v>0</v>
      </c>
      <c r="N265" s="321">
        <f>Données!N265</f>
        <v>2805.7439996808507</v>
      </c>
      <c r="O265" s="321">
        <f>Données!O265</f>
        <v>98899.1</v>
      </c>
      <c r="P265" s="321">
        <f>Données!P265</f>
        <v>-8185.81</v>
      </c>
      <c r="Q265" s="321">
        <f>Données!Q265</f>
        <v>2397.9</v>
      </c>
      <c r="R265" s="321">
        <f>Données!R265</f>
        <v>-263.85000000000002</v>
      </c>
      <c r="S265" s="313"/>
      <c r="T265" s="302">
        <f t="shared" si="24"/>
        <v>1261396.0099334284</v>
      </c>
      <c r="U265" s="322">
        <f t="shared" si="25"/>
        <v>98899.1</v>
      </c>
      <c r="V265" s="322">
        <f t="shared" si="26"/>
        <v>-6051.76</v>
      </c>
      <c r="W265" s="323">
        <f t="shared" si="27"/>
        <v>1354243.3499334285</v>
      </c>
      <c r="X265" s="302">
        <f t="shared" si="28"/>
        <v>3499.3368215334067</v>
      </c>
      <c r="Y265" s="324">
        <f t="shared" si="29"/>
        <v>1.0475755782353371</v>
      </c>
    </row>
    <row r="266" spans="1:25" x14ac:dyDescent="0.25">
      <c r="A266" s="148">
        <f>Données!A266</f>
        <v>5871</v>
      </c>
      <c r="B266" s="156" t="str">
        <f>Données!B266</f>
        <v>L'Abbaye</v>
      </c>
      <c r="C266" s="318">
        <f>Données!C266</f>
        <v>1538</v>
      </c>
      <c r="D266" s="319">
        <f>Données!D266</f>
        <v>77.209999999999994</v>
      </c>
      <c r="E266" s="320">
        <f>Données!E266</f>
        <v>1</v>
      </c>
      <c r="F266" s="321">
        <f>Données!F266</f>
        <v>2902899.13</v>
      </c>
      <c r="G266" s="321">
        <f>Données!G266</f>
        <v>529582.56999999995</v>
      </c>
      <c r="H266" s="321">
        <f>Données!H266</f>
        <v>86833.7</v>
      </c>
      <c r="I266" s="321">
        <f>Données!I266</f>
        <v>24856.5</v>
      </c>
      <c r="J266" s="321">
        <f>Données!J266</f>
        <v>0</v>
      </c>
      <c r="K266" s="321">
        <f>Données!K266</f>
        <v>1806.78</v>
      </c>
      <c r="L266" s="321">
        <f>Données!L266</f>
        <v>-15203.46</v>
      </c>
      <c r="M266" s="321">
        <f>Données!M266</f>
        <v>-3024.66</v>
      </c>
      <c r="N266" s="321">
        <f>Données!N266</f>
        <v>11025.971879448593</v>
      </c>
      <c r="O266" s="321">
        <f>Données!O266</f>
        <v>309187.90000000002</v>
      </c>
      <c r="P266" s="321">
        <f>Données!P266</f>
        <v>14949.35</v>
      </c>
      <c r="Q266" s="321">
        <f>Données!Q266</f>
        <v>5558.2</v>
      </c>
      <c r="R266" s="321">
        <f>Données!R266</f>
        <v>-235.65</v>
      </c>
      <c r="S266" s="313"/>
      <c r="T266" s="302">
        <f t="shared" si="24"/>
        <v>3092997.8811338725</v>
      </c>
      <c r="U266" s="322">
        <f t="shared" si="25"/>
        <v>309187.90000000002</v>
      </c>
      <c r="V266" s="322">
        <f t="shared" si="26"/>
        <v>20271.899999999998</v>
      </c>
      <c r="W266" s="323">
        <f t="shared" si="27"/>
        <v>3422457.6811338724</v>
      </c>
      <c r="X266" s="302">
        <f t="shared" si="28"/>
        <v>2225.2650722586945</v>
      </c>
      <c r="Y266" s="324">
        <f t="shared" si="29"/>
        <v>0.66616432303787221</v>
      </c>
    </row>
    <row r="267" spans="1:25" x14ac:dyDescent="0.25">
      <c r="A267" s="148">
        <f>Données!A267</f>
        <v>5872</v>
      </c>
      <c r="B267" s="156" t="str">
        <f>Données!B267</f>
        <v>Le Chenit</v>
      </c>
      <c r="C267" s="318">
        <f>Données!C267</f>
        <v>4760</v>
      </c>
      <c r="D267" s="319">
        <f>Données!D267</f>
        <v>66.33</v>
      </c>
      <c r="E267" s="320">
        <f>Données!E267</f>
        <v>1</v>
      </c>
      <c r="F267" s="321">
        <f>Données!F267</f>
        <v>7145636.9699999997</v>
      </c>
      <c r="G267" s="321">
        <f>Données!G267</f>
        <v>1052446.1000000001</v>
      </c>
      <c r="H267" s="321">
        <f>Données!H267</f>
        <v>12601022.9</v>
      </c>
      <c r="I267" s="321">
        <f>Données!I267</f>
        <v>373460.25</v>
      </c>
      <c r="J267" s="321">
        <f>Données!J267</f>
        <v>0</v>
      </c>
      <c r="K267" s="321">
        <f>Données!K267</f>
        <v>46879.89</v>
      </c>
      <c r="L267" s="321">
        <f>Données!L267</f>
        <v>-127250.74</v>
      </c>
      <c r="M267" s="321">
        <f>Données!M267</f>
        <v>-66.66</v>
      </c>
      <c r="N267" s="321">
        <f>Données!N267</f>
        <v>1280831.1415171572</v>
      </c>
      <c r="O267" s="321">
        <f>Données!O267</f>
        <v>860230.35</v>
      </c>
      <c r="P267" s="321">
        <f>Données!P267</f>
        <v>623089.13</v>
      </c>
      <c r="Q267" s="321">
        <f>Données!Q267</f>
        <v>18107</v>
      </c>
      <c r="R267" s="321">
        <f>Données!R267</f>
        <v>-2458.8200000000002</v>
      </c>
      <c r="S267" s="313"/>
      <c r="T267" s="302">
        <f t="shared" si="24"/>
        <v>22762160.559457585</v>
      </c>
      <c r="U267" s="322">
        <f t="shared" si="25"/>
        <v>860230.35</v>
      </c>
      <c r="V267" s="322">
        <f t="shared" si="26"/>
        <v>638737.31000000006</v>
      </c>
      <c r="W267" s="323">
        <f t="shared" si="27"/>
        <v>24261128.219457585</v>
      </c>
      <c r="X267" s="302">
        <f t="shared" si="28"/>
        <v>5096.8756763566353</v>
      </c>
      <c r="Y267" s="324">
        <f t="shared" si="29"/>
        <v>1.5258212501856916</v>
      </c>
    </row>
    <row r="268" spans="1:25" x14ac:dyDescent="0.25">
      <c r="A268" s="148">
        <f>Données!A268</f>
        <v>5873</v>
      </c>
      <c r="B268" s="156" t="str">
        <f>Données!B268</f>
        <v>Le Lieu</v>
      </c>
      <c r="C268" s="318">
        <f>Données!C268</f>
        <v>925</v>
      </c>
      <c r="D268" s="319">
        <f>Données!D268</f>
        <v>70</v>
      </c>
      <c r="E268" s="320">
        <f>Données!E268</f>
        <v>0.8</v>
      </c>
      <c r="F268" s="321">
        <f>Données!F268</f>
        <v>1504828.82</v>
      </c>
      <c r="G268" s="321">
        <f>Données!G268</f>
        <v>390357.83</v>
      </c>
      <c r="H268" s="321">
        <f>Données!H268</f>
        <v>102136.9</v>
      </c>
      <c r="I268" s="321">
        <f>Données!I268</f>
        <v>12379.25</v>
      </c>
      <c r="J268" s="321">
        <f>Données!J268</f>
        <v>0</v>
      </c>
      <c r="K268" s="321">
        <f>Données!K268</f>
        <v>4511.55</v>
      </c>
      <c r="L268" s="321">
        <f>Données!L268</f>
        <v>-33153.089999999997</v>
      </c>
      <c r="M268" s="321">
        <f>Données!M268</f>
        <v>-2650</v>
      </c>
      <c r="N268" s="321">
        <f>Données!N268</f>
        <v>11304.947521292977</v>
      </c>
      <c r="O268" s="321">
        <f>Données!O268</f>
        <v>124940</v>
      </c>
      <c r="P268" s="321">
        <f>Données!P268</f>
        <v>60518.12</v>
      </c>
      <c r="Q268" s="321">
        <f>Données!Q268</f>
        <v>0</v>
      </c>
      <c r="R268" s="321">
        <f>Données!R268</f>
        <v>-336.93</v>
      </c>
      <c r="S268" s="313"/>
      <c r="T268" s="302">
        <f t="shared" si="24"/>
        <v>1918196.6756600491</v>
      </c>
      <c r="U268" s="322">
        <f t="shared" si="25"/>
        <v>156175</v>
      </c>
      <c r="V268" s="322">
        <f t="shared" si="26"/>
        <v>60181.19</v>
      </c>
      <c r="W268" s="323">
        <f t="shared" si="27"/>
        <v>2134552.865660049</v>
      </c>
      <c r="X268" s="302">
        <f t="shared" si="28"/>
        <v>2307.6247196324853</v>
      </c>
      <c r="Y268" s="324">
        <f t="shared" si="29"/>
        <v>0.69081983910307065</v>
      </c>
    </row>
    <row r="269" spans="1:25" x14ac:dyDescent="0.25">
      <c r="A269" s="148">
        <f>Données!A269</f>
        <v>5882</v>
      </c>
      <c r="B269" s="156" t="str">
        <f>Données!B269</f>
        <v>Chardonne</v>
      </c>
      <c r="C269" s="318">
        <f>Données!C269</f>
        <v>3340</v>
      </c>
      <c r="D269" s="319">
        <f>Données!D269</f>
        <v>68</v>
      </c>
      <c r="E269" s="320">
        <f>Données!E269</f>
        <v>1</v>
      </c>
      <c r="F269" s="321">
        <f>Données!F269</f>
        <v>9442301.5199999996</v>
      </c>
      <c r="G269" s="321">
        <f>Données!G269</f>
        <v>2157573.62</v>
      </c>
      <c r="H269" s="321">
        <f>Données!H269</f>
        <v>136934.15</v>
      </c>
      <c r="I269" s="321">
        <f>Données!I269</f>
        <v>23224.7</v>
      </c>
      <c r="J269" s="321">
        <f>Données!J269</f>
        <v>513516.3</v>
      </c>
      <c r="K269" s="321">
        <f>Données!K269</f>
        <v>18746.75</v>
      </c>
      <c r="L269" s="321">
        <f>Données!L269</f>
        <v>-174751.69</v>
      </c>
      <c r="M269" s="321">
        <f>Données!M269</f>
        <v>-4049.66</v>
      </c>
      <c r="N269" s="321">
        <f>Données!N269</f>
        <v>15810.760266745205</v>
      </c>
      <c r="O269" s="321">
        <f>Données!O269</f>
        <v>1103305.68</v>
      </c>
      <c r="P269" s="321">
        <f>Données!P269</f>
        <v>427364.26</v>
      </c>
      <c r="Q269" s="321">
        <f>Données!Q269</f>
        <v>100248.65</v>
      </c>
      <c r="R269" s="321">
        <f>Données!R269</f>
        <v>-24583.07</v>
      </c>
      <c r="S269" s="313"/>
      <c r="T269" s="302">
        <f t="shared" si="24"/>
        <v>12037244.791427102</v>
      </c>
      <c r="U269" s="322">
        <f t="shared" si="25"/>
        <v>1103305.68</v>
      </c>
      <c r="V269" s="322">
        <f t="shared" si="26"/>
        <v>503029.84</v>
      </c>
      <c r="W269" s="323">
        <f t="shared" si="27"/>
        <v>13643580.311427101</v>
      </c>
      <c r="X269" s="302">
        <f t="shared" si="28"/>
        <v>4084.9042848584136</v>
      </c>
      <c r="Y269" s="324">
        <f t="shared" si="29"/>
        <v>1.2228734147321654</v>
      </c>
    </row>
    <row r="270" spans="1:25" x14ac:dyDescent="0.25">
      <c r="A270" s="148">
        <f>Données!A270</f>
        <v>5883</v>
      </c>
      <c r="B270" s="156" t="str">
        <f>Données!B270</f>
        <v>Corseaux</v>
      </c>
      <c r="C270" s="318">
        <f>Données!C270</f>
        <v>2322</v>
      </c>
      <c r="D270" s="319">
        <f>Données!D270</f>
        <v>67.5</v>
      </c>
      <c r="E270" s="320">
        <f>Données!E270</f>
        <v>1</v>
      </c>
      <c r="F270" s="321">
        <f>Données!F270</f>
        <v>9382129.2799999993</v>
      </c>
      <c r="G270" s="321">
        <f>Données!G270</f>
        <v>1889621.6</v>
      </c>
      <c r="H270" s="321">
        <f>Données!H270</f>
        <v>98655.1</v>
      </c>
      <c r="I270" s="321">
        <f>Données!I270</f>
        <v>23727.95</v>
      </c>
      <c r="J270" s="321">
        <f>Données!J270</f>
        <v>501781</v>
      </c>
      <c r="K270" s="321">
        <f>Données!K270</f>
        <v>33806.85</v>
      </c>
      <c r="L270" s="321">
        <f>Données!L270</f>
        <v>-55635.17</v>
      </c>
      <c r="M270" s="321">
        <f>Données!M270</f>
        <v>0</v>
      </c>
      <c r="N270" s="321">
        <f>Données!N270</f>
        <v>12081.561925944721</v>
      </c>
      <c r="O270" s="321">
        <f>Données!O270</f>
        <v>751675.35</v>
      </c>
      <c r="P270" s="321">
        <f>Données!P270</f>
        <v>45201.57</v>
      </c>
      <c r="Q270" s="321">
        <f>Données!Q270</f>
        <v>21064</v>
      </c>
      <c r="R270" s="321">
        <f>Données!R270</f>
        <v>-30888.5</v>
      </c>
      <c r="S270" s="313"/>
      <c r="T270" s="302">
        <f t="shared" si="24"/>
        <v>11883329.358842889</v>
      </c>
      <c r="U270" s="322">
        <f t="shared" si="25"/>
        <v>751675.35</v>
      </c>
      <c r="V270" s="322">
        <f t="shared" si="26"/>
        <v>35377.070000000007</v>
      </c>
      <c r="W270" s="323">
        <f t="shared" si="27"/>
        <v>12670381.778842889</v>
      </c>
      <c r="X270" s="302">
        <f t="shared" si="28"/>
        <v>5456.6674327488754</v>
      </c>
      <c r="Y270" s="324">
        <f t="shared" si="29"/>
        <v>1.6335299608555458</v>
      </c>
    </row>
    <row r="271" spans="1:25" x14ac:dyDescent="0.25">
      <c r="A271" s="148">
        <f>Données!A271</f>
        <v>5884</v>
      </c>
      <c r="B271" s="156" t="str">
        <f>Données!B271</f>
        <v>Corsier-sur-Vevey</v>
      </c>
      <c r="C271" s="318">
        <f>Données!C271</f>
        <v>3389</v>
      </c>
      <c r="D271" s="319">
        <f>Données!D271</f>
        <v>64.5</v>
      </c>
      <c r="E271" s="320">
        <f>Données!E271</f>
        <v>1.2</v>
      </c>
      <c r="F271" s="321">
        <f>Données!F271</f>
        <v>5428891.3099999996</v>
      </c>
      <c r="G271" s="321">
        <f>Données!G271</f>
        <v>842685.26</v>
      </c>
      <c r="H271" s="321">
        <f>Données!H271</f>
        <v>2596193.9</v>
      </c>
      <c r="I271" s="321">
        <f>Données!I271</f>
        <v>22834.35</v>
      </c>
      <c r="J271" s="321">
        <f>Données!J271</f>
        <v>35229.4</v>
      </c>
      <c r="K271" s="321">
        <f>Données!K271</f>
        <v>102575.4</v>
      </c>
      <c r="L271" s="321">
        <f>Données!L271</f>
        <v>-144256.37</v>
      </c>
      <c r="M271" s="321">
        <f>Données!M271</f>
        <v>0</v>
      </c>
      <c r="N271" s="321">
        <f>Données!N271</f>
        <v>258548.48353733323</v>
      </c>
      <c r="O271" s="321">
        <f>Données!O271</f>
        <v>1015825.85</v>
      </c>
      <c r="P271" s="321">
        <f>Données!P271</f>
        <v>168431.63</v>
      </c>
      <c r="Q271" s="321">
        <f>Données!Q271</f>
        <v>190820</v>
      </c>
      <c r="R271" s="321">
        <f>Données!R271</f>
        <v>-4277.8599999999997</v>
      </c>
      <c r="S271" s="313"/>
      <c r="T271" s="302">
        <f t="shared" si="24"/>
        <v>9565658.5308171492</v>
      </c>
      <c r="U271" s="322">
        <f t="shared" si="25"/>
        <v>846521.54166666663</v>
      </c>
      <c r="V271" s="322">
        <f t="shared" si="26"/>
        <v>354973.77</v>
      </c>
      <c r="W271" s="323">
        <f t="shared" si="27"/>
        <v>10767153.842483815</v>
      </c>
      <c r="X271" s="302">
        <f t="shared" si="28"/>
        <v>3177.0887702814443</v>
      </c>
      <c r="Y271" s="324">
        <f t="shared" si="29"/>
        <v>0.95110610249119942</v>
      </c>
    </row>
    <row r="272" spans="1:25" x14ac:dyDescent="0.25">
      <c r="A272" s="148">
        <f>Données!A272</f>
        <v>5885</v>
      </c>
      <c r="B272" s="156" t="str">
        <f>Données!B272</f>
        <v>Jongny</v>
      </c>
      <c r="C272" s="318">
        <f>Données!C272</f>
        <v>1921</v>
      </c>
      <c r="D272" s="319">
        <f>Données!D272</f>
        <v>69.5</v>
      </c>
      <c r="E272" s="320">
        <f>Données!E272</f>
        <v>1.2</v>
      </c>
      <c r="F272" s="321">
        <f>Données!F272</f>
        <v>5711913.2800000003</v>
      </c>
      <c r="G272" s="321">
        <f>Données!G272</f>
        <v>922094.09</v>
      </c>
      <c r="H272" s="321">
        <f>Données!H272</f>
        <v>53885.85</v>
      </c>
      <c r="I272" s="321">
        <f>Données!I272</f>
        <v>10355.65</v>
      </c>
      <c r="J272" s="321">
        <f>Données!J272</f>
        <v>97764.94</v>
      </c>
      <c r="K272" s="321">
        <f>Données!K272</f>
        <v>68297.03</v>
      </c>
      <c r="L272" s="321">
        <f>Données!L272</f>
        <v>-71643.22</v>
      </c>
      <c r="M272" s="321">
        <f>Données!M272</f>
        <v>0</v>
      </c>
      <c r="N272" s="321">
        <f>Données!N272</f>
        <v>6341.8721829990163</v>
      </c>
      <c r="O272" s="321">
        <f>Données!O272</f>
        <v>587705.44999999995</v>
      </c>
      <c r="P272" s="321">
        <f>Données!P272</f>
        <v>-26569.32</v>
      </c>
      <c r="Q272" s="321">
        <f>Données!Q272</f>
        <v>52463.55</v>
      </c>
      <c r="R272" s="321">
        <f>Données!R272</f>
        <v>-6394.05</v>
      </c>
      <c r="S272" s="313"/>
      <c r="T272" s="302">
        <f t="shared" si="24"/>
        <v>6601777.4416365912</v>
      </c>
      <c r="U272" s="322">
        <f t="shared" si="25"/>
        <v>489754.54166666663</v>
      </c>
      <c r="V272" s="322">
        <f t="shared" si="26"/>
        <v>19500.180000000004</v>
      </c>
      <c r="W272" s="323">
        <f t="shared" si="27"/>
        <v>7111032.1633032579</v>
      </c>
      <c r="X272" s="302">
        <f t="shared" si="28"/>
        <v>3701.7345982838406</v>
      </c>
      <c r="Y272" s="324">
        <f t="shared" si="29"/>
        <v>1.1081661926363746</v>
      </c>
    </row>
    <row r="273" spans="1:25" x14ac:dyDescent="0.25">
      <c r="A273" s="148">
        <f>Données!A273</f>
        <v>5886</v>
      </c>
      <c r="B273" s="156" t="str">
        <f>Données!B273</f>
        <v>Montreux</v>
      </c>
      <c r="C273" s="318">
        <f>Données!C273</f>
        <v>26964</v>
      </c>
      <c r="D273" s="319">
        <f>Données!D273</f>
        <v>65</v>
      </c>
      <c r="E273" s="320">
        <f>Données!E273</f>
        <v>1.5</v>
      </c>
      <c r="F273" s="321">
        <f>Données!F273</f>
        <v>45219754.960000001</v>
      </c>
      <c r="G273" s="321">
        <f>Données!G273</f>
        <v>11296903.550000001</v>
      </c>
      <c r="H273" s="321">
        <f>Données!H273</f>
        <v>3163097.25</v>
      </c>
      <c r="I273" s="321">
        <f>Données!I273</f>
        <v>691609</v>
      </c>
      <c r="J273" s="321">
        <f>Données!J273</f>
        <v>5377468.1799999997</v>
      </c>
      <c r="K273" s="321">
        <f>Données!K273</f>
        <v>631363.47</v>
      </c>
      <c r="L273" s="321">
        <f>Données!L273</f>
        <v>-4775480.5199999996</v>
      </c>
      <c r="M273" s="321">
        <f>Données!M273</f>
        <v>-234478.56</v>
      </c>
      <c r="N273" s="321">
        <f>Données!N273</f>
        <v>380533.67901601695</v>
      </c>
      <c r="O273" s="321">
        <f>Données!O273</f>
        <v>11504115.279999999</v>
      </c>
      <c r="P273" s="321">
        <f>Données!P273</f>
        <v>2613040.96</v>
      </c>
      <c r="Q273" s="321">
        <f>Données!Q273</f>
        <v>762834</v>
      </c>
      <c r="R273" s="321">
        <f>Données!R273</f>
        <v>-162621.25</v>
      </c>
      <c r="S273" s="313"/>
      <c r="T273" s="302">
        <f t="shared" si="24"/>
        <v>64110485.284926318</v>
      </c>
      <c r="U273" s="322">
        <f t="shared" si="25"/>
        <v>7669410.1866666665</v>
      </c>
      <c r="V273" s="322">
        <f t="shared" si="26"/>
        <v>3213253.71</v>
      </c>
      <c r="W273" s="323">
        <f t="shared" si="27"/>
        <v>74993149.181592971</v>
      </c>
      <c r="X273" s="302">
        <f t="shared" si="28"/>
        <v>2781.2323535674591</v>
      </c>
      <c r="Y273" s="324">
        <f t="shared" si="29"/>
        <v>0.83260092971517463</v>
      </c>
    </row>
    <row r="274" spans="1:25" x14ac:dyDescent="0.25">
      <c r="A274" s="148">
        <f>Données!A274</f>
        <v>5889</v>
      </c>
      <c r="B274" s="156" t="str">
        <f>Données!B274</f>
        <v>La Tour-de-Peilz</v>
      </c>
      <c r="C274" s="318">
        <f>Données!C274</f>
        <v>12812</v>
      </c>
      <c r="D274" s="319">
        <f>Données!D274</f>
        <v>64</v>
      </c>
      <c r="E274" s="320">
        <f>Données!E274</f>
        <v>1.2</v>
      </c>
      <c r="F274" s="321">
        <f>Données!F274</f>
        <v>26278702.82</v>
      </c>
      <c r="G274" s="321">
        <f>Données!G274</f>
        <v>5955634.0999999996</v>
      </c>
      <c r="H274" s="321">
        <f>Données!H274</f>
        <v>10306053.050000001</v>
      </c>
      <c r="I274" s="321">
        <f>Données!I274</f>
        <v>-86745.9</v>
      </c>
      <c r="J274" s="321">
        <f>Données!J274</f>
        <v>1025840.96</v>
      </c>
      <c r="K274" s="321">
        <f>Données!K274</f>
        <v>100391.02</v>
      </c>
      <c r="L274" s="321">
        <f>Données!L274</f>
        <v>-340513.98</v>
      </c>
      <c r="M274" s="321">
        <f>Données!M274</f>
        <v>-1299.6600000000001</v>
      </c>
      <c r="N274" s="321">
        <f>Données!N274</f>
        <v>1008842.2553039384</v>
      </c>
      <c r="O274" s="321">
        <f>Données!O274</f>
        <v>3370826.35</v>
      </c>
      <c r="P274" s="321">
        <f>Données!P274</f>
        <v>1093684.1100000001</v>
      </c>
      <c r="Q274" s="321">
        <f>Données!Q274</f>
        <v>267276.45</v>
      </c>
      <c r="R274" s="321">
        <f>Données!R274</f>
        <v>-1605235.16</v>
      </c>
      <c r="S274" s="313"/>
      <c r="T274" s="302">
        <f t="shared" si="24"/>
        <v>46655511.711199813</v>
      </c>
      <c r="U274" s="322">
        <f t="shared" si="25"/>
        <v>2809021.9583333335</v>
      </c>
      <c r="V274" s="322">
        <f t="shared" si="26"/>
        <v>-244274.59999999986</v>
      </c>
      <c r="W274" s="323">
        <f t="shared" si="27"/>
        <v>49220259.069533147</v>
      </c>
      <c r="X274" s="302">
        <f t="shared" si="28"/>
        <v>3841.731116885197</v>
      </c>
      <c r="Y274" s="324">
        <f t="shared" si="29"/>
        <v>1.1500761148314278</v>
      </c>
    </row>
    <row r="275" spans="1:25" x14ac:dyDescent="0.25">
      <c r="A275" s="148">
        <f>Données!A275</f>
        <v>5890</v>
      </c>
      <c r="B275" s="156" t="str">
        <f>Données!B275</f>
        <v>Vevey</v>
      </c>
      <c r="C275" s="318">
        <f>Données!C275</f>
        <v>20146</v>
      </c>
      <c r="D275" s="319">
        <f>Données!D275</f>
        <v>74.5</v>
      </c>
      <c r="E275" s="320">
        <f>Données!E275</f>
        <v>1.5</v>
      </c>
      <c r="F275" s="321">
        <f>Données!F275</f>
        <v>39249496.539999999</v>
      </c>
      <c r="G275" s="321">
        <f>Données!G275</f>
        <v>4882461.3099999996</v>
      </c>
      <c r="H275" s="321">
        <f>Données!H275</f>
        <v>28892397.850000001</v>
      </c>
      <c r="I275" s="321">
        <f>Données!I275</f>
        <v>-434362.35</v>
      </c>
      <c r="J275" s="321">
        <f>Données!J275</f>
        <v>181880.05</v>
      </c>
      <c r="K275" s="321">
        <f>Données!K275</f>
        <v>206785.5</v>
      </c>
      <c r="L275" s="321">
        <f>Données!L275</f>
        <v>-783103.53</v>
      </c>
      <c r="M275" s="321">
        <f>Données!M275</f>
        <v>-22351.64</v>
      </c>
      <c r="N275" s="321">
        <f>Données!N275</f>
        <v>2809355.6925079348</v>
      </c>
      <c r="O275" s="321">
        <f>Données!O275</f>
        <v>6276424.1600000001</v>
      </c>
      <c r="P275" s="321">
        <f>Données!P275</f>
        <v>2642860.2000000002</v>
      </c>
      <c r="Q275" s="321">
        <f>Données!Q275</f>
        <v>964674.35</v>
      </c>
      <c r="R275" s="321">
        <f>Données!R275</f>
        <v>-3157025.5</v>
      </c>
      <c r="S275" s="313"/>
      <c r="T275" s="302">
        <f t="shared" si="24"/>
        <v>67920992.596887469</v>
      </c>
      <c r="U275" s="322">
        <f t="shared" si="25"/>
        <v>4184282.7733333334</v>
      </c>
      <c r="V275" s="322">
        <f t="shared" si="26"/>
        <v>450509.05000000028</v>
      </c>
      <c r="W275" s="323">
        <f t="shared" si="27"/>
        <v>72555784.420220807</v>
      </c>
      <c r="X275" s="302">
        <f t="shared" si="28"/>
        <v>3601.4982835411897</v>
      </c>
      <c r="Y275" s="324">
        <f t="shared" si="29"/>
        <v>1.0781590453590517</v>
      </c>
    </row>
    <row r="276" spans="1:25" x14ac:dyDescent="0.25">
      <c r="A276" s="148">
        <f>Données!A276</f>
        <v>5891</v>
      </c>
      <c r="B276" s="156" t="str">
        <f>Données!B276</f>
        <v>Veytaux</v>
      </c>
      <c r="C276" s="318">
        <f>Données!C276</f>
        <v>1043</v>
      </c>
      <c r="D276" s="319">
        <f>Données!D276</f>
        <v>67.5</v>
      </c>
      <c r="E276" s="320">
        <f>Données!E276</f>
        <v>1.5</v>
      </c>
      <c r="F276" s="321">
        <f>Données!F276</f>
        <v>1912545.14</v>
      </c>
      <c r="G276" s="321">
        <f>Données!G276</f>
        <v>508675.3</v>
      </c>
      <c r="H276" s="321">
        <f>Données!H276</f>
        <v>9802.6</v>
      </c>
      <c r="I276" s="321">
        <f>Données!I276</f>
        <v>40782.75</v>
      </c>
      <c r="J276" s="321">
        <f>Données!J276</f>
        <v>0</v>
      </c>
      <c r="K276" s="321">
        <f>Données!K276</f>
        <v>735.6</v>
      </c>
      <c r="L276" s="321">
        <f>Données!L276</f>
        <v>-86427.62</v>
      </c>
      <c r="M276" s="321">
        <f>Données!M276</f>
        <v>-250</v>
      </c>
      <c r="N276" s="321">
        <f>Données!N276</f>
        <v>4993.7474067739586</v>
      </c>
      <c r="O276" s="321">
        <f>Données!O276</f>
        <v>469954.45</v>
      </c>
      <c r="P276" s="321">
        <f>Données!P276</f>
        <v>60219.75</v>
      </c>
      <c r="Q276" s="321">
        <f>Données!Q276</f>
        <v>14975.35</v>
      </c>
      <c r="R276" s="321">
        <f>Données!R276</f>
        <v>-7422.95</v>
      </c>
      <c r="S276" s="313"/>
      <c r="T276" s="302">
        <f t="shared" si="24"/>
        <v>2390286.5009528622</v>
      </c>
      <c r="U276" s="322">
        <f t="shared" si="25"/>
        <v>313302.96666666667</v>
      </c>
      <c r="V276" s="322">
        <f t="shared" si="26"/>
        <v>67772.150000000009</v>
      </c>
      <c r="W276" s="323">
        <f t="shared" si="27"/>
        <v>2771361.6176195289</v>
      </c>
      <c r="X276" s="302">
        <f t="shared" si="28"/>
        <v>2657.1060571615808</v>
      </c>
      <c r="Y276" s="324">
        <f t="shared" si="29"/>
        <v>0.79544198121629339</v>
      </c>
    </row>
    <row r="277" spans="1:25" x14ac:dyDescent="0.25">
      <c r="A277" s="148">
        <f>Données!A277</f>
        <v>5892</v>
      </c>
      <c r="B277" s="156" t="str">
        <f>Données!B277</f>
        <v>Blonay-Saint-Légier</v>
      </c>
      <c r="C277" s="318">
        <f>Données!C277</f>
        <v>12463</v>
      </c>
      <c r="D277" s="319">
        <f>Données!D277</f>
        <v>68.5</v>
      </c>
      <c r="E277" s="320">
        <f>Données!E277</f>
        <v>1</v>
      </c>
      <c r="F277" s="321">
        <f>Données!F277</f>
        <v>37752733.869999997</v>
      </c>
      <c r="G277" s="321">
        <f>Données!G277</f>
        <v>8046443.29</v>
      </c>
      <c r="H277" s="321">
        <f>Données!H277</f>
        <v>890324.55</v>
      </c>
      <c r="I277" s="321">
        <f>Données!I277</f>
        <v>177035.5</v>
      </c>
      <c r="J277" s="321">
        <f>Données!J277</f>
        <v>1016803.77</v>
      </c>
      <c r="K277" s="321">
        <f>Données!K277</f>
        <v>61560.37</v>
      </c>
      <c r="L277" s="321">
        <f>Données!L277</f>
        <v>-252666.23</v>
      </c>
      <c r="M277" s="321">
        <f>Données!M277</f>
        <v>-45603</v>
      </c>
      <c r="N277" s="321">
        <f>Données!N277</f>
        <v>105368.97504478319</v>
      </c>
      <c r="O277" s="321">
        <f>Données!O277</f>
        <v>3849152.85</v>
      </c>
      <c r="P277" s="321">
        <f>Données!P277</f>
        <v>214672.09</v>
      </c>
      <c r="Q277" s="321">
        <f>Données!Q277</f>
        <v>176006.45</v>
      </c>
      <c r="R277" s="321">
        <f>Données!R277</f>
        <v>-255047.02</v>
      </c>
      <c r="S277" s="313"/>
      <c r="T277" s="302">
        <f t="shared" si="24"/>
        <v>47043653.313724205</v>
      </c>
      <c r="U277" s="322">
        <f t="shared" si="25"/>
        <v>3849152.85</v>
      </c>
      <c r="V277" s="322">
        <f t="shared" si="26"/>
        <v>135631.52000000005</v>
      </c>
      <c r="W277" s="323">
        <f t="shared" si="27"/>
        <v>51028437.68372421</v>
      </c>
      <c r="X277" s="302">
        <f t="shared" si="28"/>
        <v>4094.3944221876122</v>
      </c>
      <c r="Y277" s="324">
        <f t="shared" si="29"/>
        <v>1.2257144205018848</v>
      </c>
    </row>
    <row r="278" spans="1:25" x14ac:dyDescent="0.25">
      <c r="A278" s="148">
        <f>Données!A278</f>
        <v>5902</v>
      </c>
      <c r="B278" s="156" t="str">
        <f>Données!B278</f>
        <v>Belmont-sur-Yverdon</v>
      </c>
      <c r="C278" s="318">
        <f>Données!C278</f>
        <v>445</v>
      </c>
      <c r="D278" s="319">
        <f>Données!D278</f>
        <v>70</v>
      </c>
      <c r="E278" s="320">
        <f>Données!E278</f>
        <v>1</v>
      </c>
      <c r="F278" s="321">
        <f>Données!F278</f>
        <v>737846.09</v>
      </c>
      <c r="G278" s="321">
        <f>Données!G278</f>
        <v>68602.7</v>
      </c>
      <c r="H278" s="321">
        <f>Données!H278</f>
        <v>875.55</v>
      </c>
      <c r="I278" s="321">
        <f>Données!I278</f>
        <v>441.7</v>
      </c>
      <c r="J278" s="321">
        <f>Données!J278</f>
        <v>0</v>
      </c>
      <c r="K278" s="321">
        <f>Données!K278</f>
        <v>174.91</v>
      </c>
      <c r="L278" s="321">
        <f>Données!L278</f>
        <v>-13428.12</v>
      </c>
      <c r="M278" s="321">
        <f>Données!M278</f>
        <v>0</v>
      </c>
      <c r="N278" s="321">
        <f>Données!N278</f>
        <v>130.03792148463927</v>
      </c>
      <c r="O278" s="321">
        <f>Données!O278</f>
        <v>74724.5</v>
      </c>
      <c r="P278" s="321">
        <f>Données!P278</f>
        <v>-4301.55</v>
      </c>
      <c r="Q278" s="321">
        <f>Données!Q278</f>
        <v>0</v>
      </c>
      <c r="R278" s="321">
        <f>Données!R278</f>
        <v>-36.549999999999997</v>
      </c>
      <c r="S278" s="313"/>
      <c r="T278" s="302">
        <f t="shared" si="24"/>
        <v>766079.75641051168</v>
      </c>
      <c r="U278" s="322">
        <f t="shared" si="25"/>
        <v>74724.5</v>
      </c>
      <c r="V278" s="322">
        <f t="shared" si="26"/>
        <v>-4338.1000000000004</v>
      </c>
      <c r="W278" s="323">
        <f t="shared" si="27"/>
        <v>836466.1564105117</v>
      </c>
      <c r="X278" s="302">
        <f t="shared" si="28"/>
        <v>1879.6992278887903</v>
      </c>
      <c r="Y278" s="324">
        <f t="shared" si="29"/>
        <v>0.5627143387418323</v>
      </c>
    </row>
    <row r="279" spans="1:25" x14ac:dyDescent="0.25">
      <c r="A279" s="148">
        <f>Données!A279</f>
        <v>5903</v>
      </c>
      <c r="B279" s="156" t="str">
        <f>Données!B279</f>
        <v>Bioley-Magnoux</v>
      </c>
      <c r="C279" s="318">
        <f>Données!C279</f>
        <v>257</v>
      </c>
      <c r="D279" s="319">
        <f>Données!D279</f>
        <v>72</v>
      </c>
      <c r="E279" s="320">
        <f>Données!E279</f>
        <v>0.7</v>
      </c>
      <c r="F279" s="321">
        <f>Données!F279</f>
        <v>406735.48</v>
      </c>
      <c r="G279" s="321">
        <f>Données!G279</f>
        <v>55036.800000000003</v>
      </c>
      <c r="H279" s="321">
        <f>Données!H279</f>
        <v>1179.0999999999999</v>
      </c>
      <c r="I279" s="321">
        <f>Données!I279</f>
        <v>172.8</v>
      </c>
      <c r="J279" s="321">
        <f>Données!J279</f>
        <v>0</v>
      </c>
      <c r="K279" s="321">
        <f>Données!K279</f>
        <v>0</v>
      </c>
      <c r="L279" s="321">
        <f>Données!L279</f>
        <v>-1954.47</v>
      </c>
      <c r="M279" s="321">
        <f>Données!M279</f>
        <v>0</v>
      </c>
      <c r="N279" s="321">
        <f>Données!N279</f>
        <v>133.45854321889072</v>
      </c>
      <c r="O279" s="321">
        <f>Données!O279</f>
        <v>30148.25</v>
      </c>
      <c r="P279" s="321">
        <f>Données!P279</f>
        <v>1245.98</v>
      </c>
      <c r="Q279" s="321">
        <f>Données!Q279</f>
        <v>0</v>
      </c>
      <c r="R279" s="321">
        <f>Données!R279</f>
        <v>-166.3</v>
      </c>
      <c r="S279" s="313"/>
      <c r="T279" s="302">
        <f t="shared" si="24"/>
        <v>432368.43184966996</v>
      </c>
      <c r="U279" s="322">
        <f t="shared" si="25"/>
        <v>43068.928571428572</v>
      </c>
      <c r="V279" s="322">
        <f t="shared" si="26"/>
        <v>1079.68</v>
      </c>
      <c r="W279" s="323">
        <f t="shared" si="27"/>
        <v>476517.04042109853</v>
      </c>
      <c r="X279" s="302">
        <f t="shared" si="28"/>
        <v>1854.1519082533016</v>
      </c>
      <c r="Y279" s="324">
        <f t="shared" si="29"/>
        <v>0.55506639014345116</v>
      </c>
    </row>
    <row r="280" spans="1:25" x14ac:dyDescent="0.25">
      <c r="A280" s="148">
        <f>Données!A280</f>
        <v>5904</v>
      </c>
      <c r="B280" s="156" t="str">
        <f>Données!B280</f>
        <v>Chamblon</v>
      </c>
      <c r="C280" s="318">
        <f>Données!C280</f>
        <v>554</v>
      </c>
      <c r="D280" s="319">
        <f>Données!D280</f>
        <v>66</v>
      </c>
      <c r="E280" s="320">
        <f>Données!E280</f>
        <v>1</v>
      </c>
      <c r="F280" s="321">
        <f>Données!F280</f>
        <v>830394.58</v>
      </c>
      <c r="G280" s="321">
        <f>Données!G280</f>
        <v>156224.71</v>
      </c>
      <c r="H280" s="321">
        <f>Données!H280</f>
        <v>22935.599999999999</v>
      </c>
      <c r="I280" s="321">
        <f>Données!I280</f>
        <v>392.2</v>
      </c>
      <c r="J280" s="321">
        <f>Données!J280</f>
        <v>0</v>
      </c>
      <c r="K280" s="321">
        <f>Données!K280</f>
        <v>5325.11</v>
      </c>
      <c r="L280" s="321">
        <f>Données!L280</f>
        <v>-13818.86</v>
      </c>
      <c r="M280" s="321">
        <f>Données!M280</f>
        <v>0</v>
      </c>
      <c r="N280" s="321">
        <f>Données!N280</f>
        <v>2302.9027328216876</v>
      </c>
      <c r="O280" s="321">
        <f>Données!O280</f>
        <v>103785.9</v>
      </c>
      <c r="P280" s="321">
        <f>Données!P280</f>
        <v>18476.64</v>
      </c>
      <c r="Q280" s="321">
        <f>Données!Q280</f>
        <v>2416.25</v>
      </c>
      <c r="R280" s="321">
        <f>Données!R280</f>
        <v>-164.37</v>
      </c>
      <c r="S280" s="313"/>
      <c r="T280" s="302">
        <f t="shared" si="24"/>
        <v>1026323.7057515873</v>
      </c>
      <c r="U280" s="322">
        <f t="shared" si="25"/>
        <v>103785.9</v>
      </c>
      <c r="V280" s="322">
        <f t="shared" si="26"/>
        <v>20728.52</v>
      </c>
      <c r="W280" s="323">
        <f t="shared" si="27"/>
        <v>1150838.1257515873</v>
      </c>
      <c r="X280" s="302">
        <f t="shared" si="28"/>
        <v>2077.325136735717</v>
      </c>
      <c r="Y280" s="324">
        <f t="shared" si="29"/>
        <v>0.6218764275298112</v>
      </c>
    </row>
    <row r="281" spans="1:25" x14ac:dyDescent="0.25">
      <c r="A281" s="148">
        <f>Données!A281</f>
        <v>5905</v>
      </c>
      <c r="B281" s="156" t="str">
        <f>Données!B281</f>
        <v>Champvent</v>
      </c>
      <c r="C281" s="318">
        <f>Données!C281</f>
        <v>725</v>
      </c>
      <c r="D281" s="319">
        <f>Données!D281</f>
        <v>70</v>
      </c>
      <c r="E281" s="320">
        <f>Données!E281</f>
        <v>1</v>
      </c>
      <c r="F281" s="321">
        <f>Données!F281</f>
        <v>1127114.32</v>
      </c>
      <c r="G281" s="321">
        <f>Données!G281</f>
        <v>164973.23000000001</v>
      </c>
      <c r="H281" s="321">
        <f>Données!H281</f>
        <v>27926.400000000001</v>
      </c>
      <c r="I281" s="321">
        <f>Données!I281</f>
        <v>3055.35</v>
      </c>
      <c r="J281" s="321">
        <f>Données!J281</f>
        <v>0</v>
      </c>
      <c r="K281" s="321">
        <f>Données!K281</f>
        <v>0</v>
      </c>
      <c r="L281" s="321">
        <f>Données!L281</f>
        <v>-18200.060000000001</v>
      </c>
      <c r="M281" s="321">
        <f>Données!M281</f>
        <v>-5550</v>
      </c>
      <c r="N281" s="321">
        <f>Données!N281</f>
        <v>3058.494874895975</v>
      </c>
      <c r="O281" s="321">
        <f>Données!O281</f>
        <v>118057.5</v>
      </c>
      <c r="P281" s="321">
        <f>Données!P281</f>
        <v>45619.82</v>
      </c>
      <c r="Q281" s="321">
        <f>Données!Q281</f>
        <v>3646.65</v>
      </c>
      <c r="R281" s="321">
        <f>Données!R281</f>
        <v>0</v>
      </c>
      <c r="S281" s="313"/>
      <c r="T281" s="302">
        <f t="shared" si="24"/>
        <v>1255564.302108624</v>
      </c>
      <c r="U281" s="322">
        <f t="shared" si="25"/>
        <v>118057.5</v>
      </c>
      <c r="V281" s="322">
        <f t="shared" si="26"/>
        <v>49266.47</v>
      </c>
      <c r="W281" s="323">
        <f t="shared" si="27"/>
        <v>1422888.272108624</v>
      </c>
      <c r="X281" s="302">
        <f t="shared" si="28"/>
        <v>1962.6045132532745</v>
      </c>
      <c r="Y281" s="324">
        <f t="shared" si="29"/>
        <v>0.58753319919562763</v>
      </c>
    </row>
    <row r="282" spans="1:25" x14ac:dyDescent="0.25">
      <c r="A282" s="148">
        <f>Données!A282</f>
        <v>5907</v>
      </c>
      <c r="B282" s="156" t="str">
        <f>Données!B282</f>
        <v>Chavannes-le-Chêne</v>
      </c>
      <c r="C282" s="318">
        <f>Données!C282</f>
        <v>322</v>
      </c>
      <c r="D282" s="319">
        <f>Données!D282</f>
        <v>75</v>
      </c>
      <c r="E282" s="320">
        <f>Données!E282</f>
        <v>1</v>
      </c>
      <c r="F282" s="321">
        <f>Données!F282</f>
        <v>469412.39</v>
      </c>
      <c r="G282" s="321">
        <f>Données!G282</f>
        <v>54559.41</v>
      </c>
      <c r="H282" s="321">
        <f>Données!H282</f>
        <v>3487.55</v>
      </c>
      <c r="I282" s="321">
        <f>Données!I282</f>
        <v>710.3</v>
      </c>
      <c r="J282" s="321">
        <f>Données!J282</f>
        <v>0</v>
      </c>
      <c r="K282" s="321">
        <f>Données!K282</f>
        <v>0</v>
      </c>
      <c r="L282" s="321">
        <f>Données!L282</f>
        <v>-8183.33</v>
      </c>
      <c r="M282" s="321">
        <f>Données!M282</f>
        <v>0</v>
      </c>
      <c r="N282" s="321">
        <f>Données!N282</f>
        <v>414.40856990267076</v>
      </c>
      <c r="O282" s="321">
        <f>Données!O282</f>
        <v>54905.7</v>
      </c>
      <c r="P282" s="321">
        <f>Données!P282</f>
        <v>6895.64</v>
      </c>
      <c r="Q282" s="321">
        <f>Données!Q282</f>
        <v>630.20000000000005</v>
      </c>
      <c r="R282" s="321">
        <f>Données!R282</f>
        <v>-124.05</v>
      </c>
      <c r="S282" s="313"/>
      <c r="T282" s="302">
        <f t="shared" si="24"/>
        <v>468248.79557953792</v>
      </c>
      <c r="U282" s="322">
        <f t="shared" si="25"/>
        <v>54905.7</v>
      </c>
      <c r="V282" s="322">
        <f t="shared" si="26"/>
        <v>7401.79</v>
      </c>
      <c r="W282" s="323">
        <f t="shared" si="27"/>
        <v>530556.28557953797</v>
      </c>
      <c r="X282" s="302">
        <f t="shared" si="28"/>
        <v>1647.690327886764</v>
      </c>
      <c r="Y282" s="324">
        <f t="shared" si="29"/>
        <v>0.49325921910894593</v>
      </c>
    </row>
    <row r="283" spans="1:25" x14ac:dyDescent="0.25">
      <c r="A283" s="148">
        <f>Données!A283</f>
        <v>5908</v>
      </c>
      <c r="B283" s="156" t="str">
        <f>Données!B283</f>
        <v>Chêne-Pâquier</v>
      </c>
      <c r="C283" s="318">
        <f>Données!C283</f>
        <v>173</v>
      </c>
      <c r="D283" s="319">
        <f>Données!D283</f>
        <v>75</v>
      </c>
      <c r="E283" s="320">
        <f>Données!E283</f>
        <v>1</v>
      </c>
      <c r="F283" s="321">
        <f>Données!F283</f>
        <v>311446.32</v>
      </c>
      <c r="G283" s="321">
        <f>Données!G283</f>
        <v>60614.34</v>
      </c>
      <c r="H283" s="321">
        <f>Données!H283</f>
        <v>24793.45</v>
      </c>
      <c r="I283" s="321">
        <f>Données!I283</f>
        <v>-28.4</v>
      </c>
      <c r="J283" s="321">
        <f>Données!J283</f>
        <v>0</v>
      </c>
      <c r="K283" s="321">
        <f>Données!K283</f>
        <v>0</v>
      </c>
      <c r="L283" s="321">
        <f>Données!L283</f>
        <v>-4347.3999999999996</v>
      </c>
      <c r="M283" s="321">
        <f>Données!M283</f>
        <v>0</v>
      </c>
      <c r="N283" s="321">
        <f>Données!N283</f>
        <v>2444.7869633426958</v>
      </c>
      <c r="O283" s="321">
        <f>Données!O283</f>
        <v>29714.75</v>
      </c>
      <c r="P283" s="321">
        <f>Données!P283</f>
        <v>223.38</v>
      </c>
      <c r="Q283" s="321">
        <f>Données!Q283</f>
        <v>92.95</v>
      </c>
      <c r="R283" s="321">
        <f>Données!R283</f>
        <v>-111.09</v>
      </c>
      <c r="S283" s="313"/>
      <c r="T283" s="302">
        <f t="shared" si="24"/>
        <v>355345.89854976843</v>
      </c>
      <c r="U283" s="322">
        <f t="shared" si="25"/>
        <v>29714.75</v>
      </c>
      <c r="V283" s="322">
        <f t="shared" si="26"/>
        <v>205.23999999999998</v>
      </c>
      <c r="W283" s="323">
        <f t="shared" si="27"/>
        <v>385265.88854976842</v>
      </c>
      <c r="X283" s="302">
        <f t="shared" si="28"/>
        <v>2226.9704540449043</v>
      </c>
      <c r="Y283" s="324">
        <f t="shared" si="29"/>
        <v>0.66667485300452389</v>
      </c>
    </row>
    <row r="284" spans="1:25" x14ac:dyDescent="0.25">
      <c r="A284" s="148">
        <f>Données!A284</f>
        <v>5909</v>
      </c>
      <c r="B284" s="156" t="str">
        <f>Données!B284</f>
        <v>Cheseaux-Noréaz</v>
      </c>
      <c r="C284" s="318">
        <f>Données!C284</f>
        <v>734</v>
      </c>
      <c r="D284" s="319">
        <f>Données!D284</f>
        <v>67</v>
      </c>
      <c r="E284" s="320">
        <f>Données!E284</f>
        <v>1</v>
      </c>
      <c r="F284" s="321">
        <f>Données!F284</f>
        <v>1570398.03</v>
      </c>
      <c r="G284" s="321">
        <f>Données!G284</f>
        <v>345439.55</v>
      </c>
      <c r="H284" s="321">
        <f>Données!H284</f>
        <v>-2047.75</v>
      </c>
      <c r="I284" s="321">
        <f>Données!I284</f>
        <v>1952</v>
      </c>
      <c r="J284" s="321">
        <f>Données!J284</f>
        <v>0</v>
      </c>
      <c r="K284" s="321">
        <f>Données!K284</f>
        <v>4.75</v>
      </c>
      <c r="L284" s="321">
        <f>Données!L284</f>
        <v>-371.35</v>
      </c>
      <c r="M284" s="321">
        <f>Données!M284</f>
        <v>0</v>
      </c>
      <c r="N284" s="321">
        <f>Données!N284</f>
        <v>-9.4523674186025506</v>
      </c>
      <c r="O284" s="321">
        <f>Données!O284</f>
        <v>178780.6</v>
      </c>
      <c r="P284" s="321">
        <f>Données!P284</f>
        <v>18425.22</v>
      </c>
      <c r="Q284" s="321">
        <f>Données!Q284</f>
        <v>372.5</v>
      </c>
      <c r="R284" s="321">
        <f>Données!R284</f>
        <v>-2144.1999999999998</v>
      </c>
      <c r="S284" s="313"/>
      <c r="T284" s="302">
        <f t="shared" si="24"/>
        <v>1929198.6850828149</v>
      </c>
      <c r="U284" s="322">
        <f t="shared" si="25"/>
        <v>178780.6</v>
      </c>
      <c r="V284" s="322">
        <f t="shared" si="26"/>
        <v>16653.52</v>
      </c>
      <c r="W284" s="323">
        <f t="shared" si="27"/>
        <v>2124632.8050828148</v>
      </c>
      <c r="X284" s="302">
        <f t="shared" si="28"/>
        <v>2894.5951022926633</v>
      </c>
      <c r="Y284" s="324">
        <f t="shared" si="29"/>
        <v>0.86653765918785064</v>
      </c>
    </row>
    <row r="285" spans="1:25" x14ac:dyDescent="0.25">
      <c r="A285" s="148">
        <f>Données!A285</f>
        <v>5910</v>
      </c>
      <c r="B285" s="156" t="str">
        <f>Données!B285</f>
        <v>Cronay</v>
      </c>
      <c r="C285" s="318">
        <f>Données!C285</f>
        <v>425</v>
      </c>
      <c r="D285" s="319">
        <f>Données!D285</f>
        <v>75</v>
      </c>
      <c r="E285" s="320">
        <f>Données!E285</f>
        <v>1</v>
      </c>
      <c r="F285" s="321">
        <f>Données!F285</f>
        <v>723485.86</v>
      </c>
      <c r="G285" s="321">
        <f>Données!G285</f>
        <v>72286.789999999994</v>
      </c>
      <c r="H285" s="321">
        <f>Données!H285</f>
        <v>-1328.35</v>
      </c>
      <c r="I285" s="321">
        <f>Données!I285</f>
        <v>668.35</v>
      </c>
      <c r="J285" s="321">
        <f>Données!J285</f>
        <v>0</v>
      </c>
      <c r="K285" s="321">
        <f>Données!K285</f>
        <v>0</v>
      </c>
      <c r="L285" s="321">
        <f>Données!L285</f>
        <v>-7129.16</v>
      </c>
      <c r="M285" s="321">
        <f>Données!M285</f>
        <v>0</v>
      </c>
      <c r="N285" s="321">
        <f>Données!N285</f>
        <v>-65.154699700028019</v>
      </c>
      <c r="O285" s="321">
        <f>Données!O285</f>
        <v>68459.850000000006</v>
      </c>
      <c r="P285" s="321">
        <f>Données!P285</f>
        <v>4407.4799999999996</v>
      </c>
      <c r="Q285" s="321">
        <f>Données!Q285</f>
        <v>0</v>
      </c>
      <c r="R285" s="321">
        <f>Données!R285</f>
        <v>0</v>
      </c>
      <c r="S285" s="313"/>
      <c r="T285" s="302">
        <f t="shared" si="24"/>
        <v>708957.13872898975</v>
      </c>
      <c r="U285" s="322">
        <f t="shared" si="25"/>
        <v>68459.850000000006</v>
      </c>
      <c r="V285" s="322">
        <f t="shared" si="26"/>
        <v>4407.4799999999996</v>
      </c>
      <c r="W285" s="323">
        <f t="shared" si="27"/>
        <v>781824.46872898971</v>
      </c>
      <c r="X285" s="302">
        <f t="shared" si="28"/>
        <v>1839.5869852446817</v>
      </c>
      <c r="Y285" s="324">
        <f t="shared" si="29"/>
        <v>0.55070617607408301</v>
      </c>
    </row>
    <row r="286" spans="1:25" x14ac:dyDescent="0.25">
      <c r="A286" s="148">
        <f>Données!A286</f>
        <v>5911</v>
      </c>
      <c r="B286" s="156" t="str">
        <f>Données!B286</f>
        <v>Cuarny</v>
      </c>
      <c r="C286" s="318">
        <f>Données!C286</f>
        <v>241</v>
      </c>
      <c r="D286" s="319">
        <f>Données!D286</f>
        <v>77</v>
      </c>
      <c r="E286" s="320">
        <f>Données!E286</f>
        <v>1</v>
      </c>
      <c r="F286" s="321">
        <f>Données!F286</f>
        <v>459974.59</v>
      </c>
      <c r="G286" s="321">
        <f>Données!G286</f>
        <v>38398.129999999997</v>
      </c>
      <c r="H286" s="321">
        <f>Données!H286</f>
        <v>9469.5499999999993</v>
      </c>
      <c r="I286" s="321">
        <f>Données!I286</f>
        <v>909.85</v>
      </c>
      <c r="J286" s="321">
        <f>Données!J286</f>
        <v>0</v>
      </c>
      <c r="K286" s="321">
        <f>Données!K286</f>
        <v>45.33</v>
      </c>
      <c r="L286" s="321">
        <f>Données!L286</f>
        <v>-5470.91</v>
      </c>
      <c r="M286" s="321">
        <f>Données!M286</f>
        <v>-2050</v>
      </c>
      <c r="N286" s="321">
        <f>Données!N286</f>
        <v>1024.6465001007134</v>
      </c>
      <c r="O286" s="321">
        <f>Données!O286</f>
        <v>36562.699999999997</v>
      </c>
      <c r="P286" s="321">
        <f>Données!P286</f>
        <v>129.72</v>
      </c>
      <c r="Q286" s="321">
        <f>Données!Q286</f>
        <v>2200.0500000000002</v>
      </c>
      <c r="R286" s="321">
        <f>Données!R286</f>
        <v>-160</v>
      </c>
      <c r="S286" s="313"/>
      <c r="T286" s="302">
        <f t="shared" si="24"/>
        <v>440223.79696088145</v>
      </c>
      <c r="U286" s="322">
        <f t="shared" si="25"/>
        <v>36562.699999999997</v>
      </c>
      <c r="V286" s="322">
        <f t="shared" si="26"/>
        <v>2169.77</v>
      </c>
      <c r="W286" s="323">
        <f t="shared" si="27"/>
        <v>478956.26696088148</v>
      </c>
      <c r="X286" s="302">
        <f t="shared" si="28"/>
        <v>1987.370402327309</v>
      </c>
      <c r="Y286" s="324">
        <f t="shared" si="29"/>
        <v>0.59494721559084707</v>
      </c>
    </row>
    <row r="287" spans="1:25" x14ac:dyDescent="0.25">
      <c r="A287" s="148">
        <f>Données!A287</f>
        <v>5912</v>
      </c>
      <c r="B287" s="156" t="str">
        <f>Données!B287</f>
        <v>Démoret</v>
      </c>
      <c r="C287" s="318">
        <f>Données!C287</f>
        <v>172</v>
      </c>
      <c r="D287" s="319">
        <f>Données!D287</f>
        <v>78</v>
      </c>
      <c r="E287" s="320">
        <f>Données!E287</f>
        <v>1</v>
      </c>
      <c r="F287" s="321">
        <f>Données!F287</f>
        <v>249679.67</v>
      </c>
      <c r="G287" s="321">
        <f>Données!G287</f>
        <v>13129.95</v>
      </c>
      <c r="H287" s="321">
        <f>Données!H287</f>
        <v>17917.8</v>
      </c>
      <c r="I287" s="321">
        <f>Données!I287</f>
        <v>514.4</v>
      </c>
      <c r="J287" s="321">
        <f>Données!J287</f>
        <v>0</v>
      </c>
      <c r="K287" s="321">
        <f>Données!K287</f>
        <v>0</v>
      </c>
      <c r="L287" s="321">
        <f>Données!L287</f>
        <v>-3683.95</v>
      </c>
      <c r="M287" s="321">
        <f>Données!M287</f>
        <v>0</v>
      </c>
      <c r="N287" s="321">
        <f>Données!N287</f>
        <v>1819.6128118346314</v>
      </c>
      <c r="O287" s="321">
        <f>Données!O287</f>
        <v>24338.400000000001</v>
      </c>
      <c r="P287" s="321">
        <f>Données!P287</f>
        <v>11603.14</v>
      </c>
      <c r="Q287" s="321">
        <f>Données!Q287</f>
        <v>0</v>
      </c>
      <c r="R287" s="321">
        <f>Données!R287</f>
        <v>0</v>
      </c>
      <c r="S287" s="313"/>
      <c r="T287" s="302">
        <f t="shared" si="24"/>
        <v>241711.23302159188</v>
      </c>
      <c r="U287" s="322">
        <f t="shared" si="25"/>
        <v>24338.400000000001</v>
      </c>
      <c r="V287" s="322">
        <f t="shared" si="26"/>
        <v>11603.14</v>
      </c>
      <c r="W287" s="323">
        <f t="shared" si="27"/>
        <v>277652.77302159189</v>
      </c>
      <c r="X287" s="302">
        <f t="shared" si="28"/>
        <v>1614.2603082650692</v>
      </c>
      <c r="Y287" s="324">
        <f t="shared" si="29"/>
        <v>0.48325147366411914</v>
      </c>
    </row>
    <row r="288" spans="1:25" x14ac:dyDescent="0.25">
      <c r="A288" s="148">
        <f>Données!A288</f>
        <v>5913</v>
      </c>
      <c r="B288" s="156" t="str">
        <f>Données!B288</f>
        <v>Donneloye</v>
      </c>
      <c r="C288" s="318">
        <f>Données!C288</f>
        <v>917</v>
      </c>
      <c r="D288" s="319">
        <f>Données!D288</f>
        <v>73</v>
      </c>
      <c r="E288" s="320">
        <f>Données!E288</f>
        <v>1</v>
      </c>
      <c r="F288" s="321">
        <f>Données!F288</f>
        <v>1268925.8899999999</v>
      </c>
      <c r="G288" s="321">
        <f>Données!G288</f>
        <v>148760.65</v>
      </c>
      <c r="H288" s="321">
        <f>Données!H288</f>
        <v>22696.45</v>
      </c>
      <c r="I288" s="321">
        <f>Données!I288</f>
        <v>472.05</v>
      </c>
      <c r="J288" s="321">
        <f>Données!J288</f>
        <v>0</v>
      </c>
      <c r="K288" s="321">
        <f>Données!K288</f>
        <v>0</v>
      </c>
      <c r="L288" s="321">
        <f>Données!L288</f>
        <v>-9990.3700000000008</v>
      </c>
      <c r="M288" s="321">
        <f>Données!M288</f>
        <v>0</v>
      </c>
      <c r="N288" s="321">
        <f>Données!N288</f>
        <v>2287.1767575759081</v>
      </c>
      <c r="O288" s="321">
        <f>Données!O288</f>
        <v>134590.54999999999</v>
      </c>
      <c r="P288" s="321">
        <f>Données!P288</f>
        <v>27591.71</v>
      </c>
      <c r="Q288" s="321">
        <f>Données!Q288</f>
        <v>1401.7</v>
      </c>
      <c r="R288" s="321">
        <f>Données!R288</f>
        <v>-422.2</v>
      </c>
      <c r="S288" s="313"/>
      <c r="T288" s="302">
        <f t="shared" si="24"/>
        <v>1324858.1569533462</v>
      </c>
      <c r="U288" s="322">
        <f t="shared" si="25"/>
        <v>134590.54999999999</v>
      </c>
      <c r="V288" s="322">
        <f t="shared" si="26"/>
        <v>28571.21</v>
      </c>
      <c r="W288" s="323">
        <f t="shared" si="27"/>
        <v>1488019.9169533462</v>
      </c>
      <c r="X288" s="302">
        <f t="shared" si="28"/>
        <v>1622.7043805380004</v>
      </c>
      <c r="Y288" s="324">
        <f t="shared" si="29"/>
        <v>0.48577932518145339</v>
      </c>
    </row>
    <row r="289" spans="1:25" x14ac:dyDescent="0.25">
      <c r="A289" s="148">
        <f>Données!A289</f>
        <v>5914</v>
      </c>
      <c r="B289" s="156" t="str">
        <f>Données!B289</f>
        <v>Ependes</v>
      </c>
      <c r="C289" s="318">
        <f>Données!C289</f>
        <v>381</v>
      </c>
      <c r="D289" s="319">
        <f>Données!D289</f>
        <v>73.5</v>
      </c>
      <c r="E289" s="320">
        <f>Données!E289</f>
        <v>1</v>
      </c>
      <c r="F289" s="321">
        <f>Données!F289</f>
        <v>636854.77</v>
      </c>
      <c r="G289" s="321">
        <f>Données!G289</f>
        <v>43656.57</v>
      </c>
      <c r="H289" s="321">
        <f>Données!H289</f>
        <v>12758.35</v>
      </c>
      <c r="I289" s="321">
        <f>Données!I289</f>
        <v>2948.9</v>
      </c>
      <c r="J289" s="321">
        <f>Données!J289</f>
        <v>0</v>
      </c>
      <c r="K289" s="321">
        <f>Données!K289</f>
        <v>1217.06</v>
      </c>
      <c r="L289" s="321">
        <f>Données!L289</f>
        <v>-13293.4</v>
      </c>
      <c r="M289" s="321">
        <f>Données!M289</f>
        <v>-9350</v>
      </c>
      <c r="N289" s="321">
        <f>Données!N289</f>
        <v>1550.6078134291897</v>
      </c>
      <c r="O289" s="321">
        <f>Données!O289</f>
        <v>68369.850000000006</v>
      </c>
      <c r="P289" s="321">
        <f>Données!P289</f>
        <v>15354.84</v>
      </c>
      <c r="Q289" s="321">
        <f>Données!Q289</f>
        <v>7972.35</v>
      </c>
      <c r="R289" s="321">
        <f>Données!R289</f>
        <v>0</v>
      </c>
      <c r="S289" s="313"/>
      <c r="T289" s="302">
        <f t="shared" si="24"/>
        <v>620982.84912142775</v>
      </c>
      <c r="U289" s="322">
        <f t="shared" si="25"/>
        <v>68369.850000000006</v>
      </c>
      <c r="V289" s="322">
        <f t="shared" si="26"/>
        <v>23327.190000000002</v>
      </c>
      <c r="W289" s="323">
        <f t="shared" si="27"/>
        <v>712679.88912142767</v>
      </c>
      <c r="X289" s="302">
        <f t="shared" si="28"/>
        <v>1870.5508900824873</v>
      </c>
      <c r="Y289" s="324">
        <f t="shared" si="29"/>
        <v>0.55997565545522876</v>
      </c>
    </row>
    <row r="290" spans="1:25" x14ac:dyDescent="0.25">
      <c r="A290" s="148">
        <f>Données!A290</f>
        <v>5919</v>
      </c>
      <c r="B290" s="156" t="str">
        <f>Données!B290</f>
        <v>Mathod</v>
      </c>
      <c r="C290" s="318">
        <f>Données!C290</f>
        <v>725</v>
      </c>
      <c r="D290" s="319">
        <f>Données!D290</f>
        <v>72</v>
      </c>
      <c r="E290" s="320">
        <f>Données!E290</f>
        <v>1.2</v>
      </c>
      <c r="F290" s="321">
        <f>Données!F290</f>
        <v>1159871.2</v>
      </c>
      <c r="G290" s="321">
        <f>Données!G290</f>
        <v>168864.09</v>
      </c>
      <c r="H290" s="321">
        <f>Données!H290</f>
        <v>16559.3</v>
      </c>
      <c r="I290" s="321">
        <f>Données!I290</f>
        <v>3800.85</v>
      </c>
      <c r="J290" s="321">
        <f>Données!J290</f>
        <v>0</v>
      </c>
      <c r="K290" s="321">
        <f>Données!K290</f>
        <v>0</v>
      </c>
      <c r="L290" s="321">
        <f>Données!L290</f>
        <v>-11314.42</v>
      </c>
      <c r="M290" s="321">
        <f>Données!M290</f>
        <v>-1400</v>
      </c>
      <c r="N290" s="321">
        <f>Données!N290</f>
        <v>2009.9385743901903</v>
      </c>
      <c r="O290" s="321">
        <f>Données!O290</f>
        <v>168167</v>
      </c>
      <c r="P290" s="321">
        <f>Données!P290</f>
        <v>46400.98</v>
      </c>
      <c r="Q290" s="321">
        <f>Données!Q290</f>
        <v>12392.15</v>
      </c>
      <c r="R290" s="321">
        <f>Données!R290</f>
        <v>0</v>
      </c>
      <c r="S290" s="313"/>
      <c r="T290" s="302">
        <f t="shared" si="24"/>
        <v>1254441.8495715798</v>
      </c>
      <c r="U290" s="322">
        <f t="shared" si="25"/>
        <v>140139.16666666669</v>
      </c>
      <c r="V290" s="322">
        <f t="shared" si="26"/>
        <v>58793.130000000005</v>
      </c>
      <c r="W290" s="323">
        <f t="shared" si="27"/>
        <v>1453374.1462382465</v>
      </c>
      <c r="X290" s="302">
        <f t="shared" si="28"/>
        <v>2004.6539948113743</v>
      </c>
      <c r="Y290" s="324">
        <f t="shared" si="29"/>
        <v>0.60012130151451781</v>
      </c>
    </row>
    <row r="291" spans="1:25" x14ac:dyDescent="0.25">
      <c r="A291" s="148">
        <f>Données!A291</f>
        <v>5921</v>
      </c>
      <c r="B291" s="156" t="str">
        <f>Données!B291</f>
        <v>Molondin</v>
      </c>
      <c r="C291" s="318">
        <f>Données!C291</f>
        <v>269</v>
      </c>
      <c r="D291" s="319">
        <f>Données!D291</f>
        <v>81</v>
      </c>
      <c r="E291" s="320">
        <f>Données!E291</f>
        <v>1</v>
      </c>
      <c r="F291" s="321">
        <f>Données!F291</f>
        <v>396426.34</v>
      </c>
      <c r="G291" s="321">
        <f>Données!G291</f>
        <v>76018.75</v>
      </c>
      <c r="H291" s="321">
        <f>Données!H291</f>
        <v>40291.65</v>
      </c>
      <c r="I291" s="321">
        <f>Données!I291</f>
        <v>1513.65</v>
      </c>
      <c r="J291" s="321">
        <f>Données!J291</f>
        <v>0</v>
      </c>
      <c r="K291" s="321">
        <f>Données!K291</f>
        <v>0</v>
      </c>
      <c r="L291" s="321">
        <f>Données!L291</f>
        <v>-9076.84</v>
      </c>
      <c r="M291" s="321">
        <f>Données!M291</f>
        <v>0</v>
      </c>
      <c r="N291" s="321">
        <f>Données!N291</f>
        <v>4126.9875263175481</v>
      </c>
      <c r="O291" s="321">
        <f>Données!O291</f>
        <v>42721.55</v>
      </c>
      <c r="P291" s="321">
        <f>Données!P291</f>
        <v>8943.15</v>
      </c>
      <c r="Q291" s="321">
        <f>Données!Q291</f>
        <v>0</v>
      </c>
      <c r="R291" s="321">
        <f>Données!R291</f>
        <v>0.2</v>
      </c>
      <c r="S291" s="313"/>
      <c r="T291" s="302">
        <f t="shared" si="24"/>
        <v>424315.74965398805</v>
      </c>
      <c r="U291" s="322">
        <f t="shared" si="25"/>
        <v>42721.55</v>
      </c>
      <c r="V291" s="322">
        <f t="shared" si="26"/>
        <v>8943.35</v>
      </c>
      <c r="W291" s="323">
        <f t="shared" si="27"/>
        <v>475980.64965398802</v>
      </c>
      <c r="X291" s="302">
        <f t="shared" si="28"/>
        <v>1769.4447942527436</v>
      </c>
      <c r="Y291" s="324">
        <f t="shared" si="29"/>
        <v>0.52970812700520986</v>
      </c>
    </row>
    <row r="292" spans="1:25" x14ac:dyDescent="0.25">
      <c r="A292" s="148">
        <f>Données!A292</f>
        <v>5922</v>
      </c>
      <c r="B292" s="156" t="str">
        <f>Données!B292</f>
        <v>Montagny-près-Yverdon</v>
      </c>
      <c r="C292" s="318">
        <f>Données!C292</f>
        <v>783</v>
      </c>
      <c r="D292" s="319">
        <f>Données!D292</f>
        <v>64.5</v>
      </c>
      <c r="E292" s="320">
        <f>Données!E292</f>
        <v>0.8</v>
      </c>
      <c r="F292" s="321">
        <f>Données!F292</f>
        <v>1314547.23</v>
      </c>
      <c r="G292" s="321">
        <f>Données!G292</f>
        <v>218422.38</v>
      </c>
      <c r="H292" s="321">
        <f>Données!H292</f>
        <v>498364.95</v>
      </c>
      <c r="I292" s="321">
        <f>Données!I292</f>
        <v>29651.5</v>
      </c>
      <c r="J292" s="321">
        <f>Données!J292</f>
        <v>0</v>
      </c>
      <c r="K292" s="321">
        <f>Données!K292</f>
        <v>7476.43</v>
      </c>
      <c r="L292" s="321">
        <f>Données!L292</f>
        <v>-25397.3</v>
      </c>
      <c r="M292" s="321">
        <f>Données!M292</f>
        <v>0</v>
      </c>
      <c r="N292" s="321">
        <f>Données!N292</f>
        <v>52125.383691552823</v>
      </c>
      <c r="O292" s="321">
        <f>Données!O292</f>
        <v>295349.09999999998</v>
      </c>
      <c r="P292" s="321">
        <f>Données!P292</f>
        <v>101007.41</v>
      </c>
      <c r="Q292" s="321">
        <f>Données!Q292</f>
        <v>66696.75</v>
      </c>
      <c r="R292" s="321">
        <f>Données!R292</f>
        <v>-588.54999999999995</v>
      </c>
      <c r="S292" s="313"/>
      <c r="T292" s="302">
        <f t="shared" si="24"/>
        <v>2192117.6222344097</v>
      </c>
      <c r="U292" s="322">
        <f t="shared" si="25"/>
        <v>369186.37499999994</v>
      </c>
      <c r="V292" s="322">
        <f t="shared" si="26"/>
        <v>167115.61000000002</v>
      </c>
      <c r="W292" s="323">
        <f t="shared" si="27"/>
        <v>2728419.6072344095</v>
      </c>
      <c r="X292" s="302">
        <f t="shared" si="28"/>
        <v>3484.5716567489267</v>
      </c>
      <c r="Y292" s="324">
        <f t="shared" si="29"/>
        <v>1.0431554189806862</v>
      </c>
    </row>
    <row r="293" spans="1:25" x14ac:dyDescent="0.25">
      <c r="A293" s="148">
        <f>Données!A293</f>
        <v>5923</v>
      </c>
      <c r="B293" s="156" t="str">
        <f>Données!B293</f>
        <v>Oppens</v>
      </c>
      <c r="C293" s="318">
        <f>Données!C293</f>
        <v>202</v>
      </c>
      <c r="D293" s="319">
        <f>Données!D293</f>
        <v>79</v>
      </c>
      <c r="E293" s="320">
        <f>Données!E293</f>
        <v>1</v>
      </c>
      <c r="F293" s="321">
        <f>Données!F293</f>
        <v>353078.47</v>
      </c>
      <c r="G293" s="321">
        <f>Données!G293</f>
        <v>54741.32</v>
      </c>
      <c r="H293" s="321">
        <f>Données!H293</f>
        <v>1002.4</v>
      </c>
      <c r="I293" s="321">
        <f>Données!I293</f>
        <v>-238.2</v>
      </c>
      <c r="J293" s="321">
        <f>Données!J293</f>
        <v>0</v>
      </c>
      <c r="K293" s="321">
        <f>Données!K293</f>
        <v>0</v>
      </c>
      <c r="L293" s="321">
        <f>Données!L293</f>
        <v>-2856.13</v>
      </c>
      <c r="M293" s="321">
        <f>Données!M293</f>
        <v>0</v>
      </c>
      <c r="N293" s="321">
        <f>Données!N293</f>
        <v>75.441244713274884</v>
      </c>
      <c r="O293" s="321">
        <f>Données!O293</f>
        <v>27501.7</v>
      </c>
      <c r="P293" s="321">
        <f>Données!P293</f>
        <v>15704.68</v>
      </c>
      <c r="Q293" s="321">
        <f>Données!Q293</f>
        <v>0</v>
      </c>
      <c r="R293" s="321">
        <f>Données!R293</f>
        <v>0</v>
      </c>
      <c r="S293" s="313"/>
      <c r="T293" s="302">
        <f t="shared" si="24"/>
        <v>346647.85794603726</v>
      </c>
      <c r="U293" s="322">
        <f t="shared" si="25"/>
        <v>27501.7</v>
      </c>
      <c r="V293" s="322">
        <f t="shared" si="26"/>
        <v>15704.68</v>
      </c>
      <c r="W293" s="323">
        <f t="shared" si="27"/>
        <v>389854.23794603726</v>
      </c>
      <c r="X293" s="302">
        <f t="shared" si="28"/>
        <v>1929.9714749803825</v>
      </c>
      <c r="Y293" s="324">
        <f t="shared" si="29"/>
        <v>0.57776404130035519</v>
      </c>
    </row>
    <row r="294" spans="1:25" x14ac:dyDescent="0.25">
      <c r="A294" s="148">
        <f>Données!A294</f>
        <v>5924</v>
      </c>
      <c r="B294" s="156" t="str">
        <f>Données!B294</f>
        <v>Orges</v>
      </c>
      <c r="C294" s="318">
        <f>Données!C294</f>
        <v>424</v>
      </c>
      <c r="D294" s="319">
        <f>Données!D294</f>
        <v>74</v>
      </c>
      <c r="E294" s="320">
        <f>Données!E294</f>
        <v>1</v>
      </c>
      <c r="F294" s="321">
        <f>Données!F294</f>
        <v>815586.51</v>
      </c>
      <c r="G294" s="321">
        <f>Données!G294</f>
        <v>90317.22</v>
      </c>
      <c r="H294" s="321">
        <f>Données!H294</f>
        <v>-4753.6499999999996</v>
      </c>
      <c r="I294" s="321">
        <f>Données!I294</f>
        <v>768.45</v>
      </c>
      <c r="J294" s="321">
        <f>Données!J294</f>
        <v>0</v>
      </c>
      <c r="K294" s="321">
        <f>Données!K294</f>
        <v>963.72</v>
      </c>
      <c r="L294" s="321">
        <f>Données!L294</f>
        <v>-1321.63</v>
      </c>
      <c r="M294" s="321">
        <f>Données!M294</f>
        <v>0</v>
      </c>
      <c r="N294" s="321">
        <f>Données!N294</f>
        <v>-393.4159230978056</v>
      </c>
      <c r="O294" s="321">
        <f>Données!O294</f>
        <v>65587.45</v>
      </c>
      <c r="P294" s="321">
        <f>Données!P294</f>
        <v>15030.38</v>
      </c>
      <c r="Q294" s="321">
        <f>Données!Q294</f>
        <v>0</v>
      </c>
      <c r="R294" s="321">
        <f>Données!R294</f>
        <v>-155.5</v>
      </c>
      <c r="S294" s="313"/>
      <c r="T294" s="302">
        <f t="shared" si="24"/>
        <v>821814.30180840357</v>
      </c>
      <c r="U294" s="322">
        <f t="shared" si="25"/>
        <v>65587.45</v>
      </c>
      <c r="V294" s="322">
        <f t="shared" si="26"/>
        <v>14874.88</v>
      </c>
      <c r="W294" s="323">
        <f t="shared" si="27"/>
        <v>902276.63180840353</v>
      </c>
      <c r="X294" s="302">
        <f t="shared" si="28"/>
        <v>2128.0109240764236</v>
      </c>
      <c r="Y294" s="324">
        <f t="shared" si="29"/>
        <v>0.63704992916446868</v>
      </c>
    </row>
    <row r="295" spans="1:25" x14ac:dyDescent="0.25">
      <c r="A295" s="148">
        <f>Données!A295</f>
        <v>5925</v>
      </c>
      <c r="B295" s="156" t="str">
        <f>Données!B295</f>
        <v>Orzens</v>
      </c>
      <c r="C295" s="318">
        <f>Données!C295</f>
        <v>216</v>
      </c>
      <c r="D295" s="319">
        <f>Données!D295</f>
        <v>79</v>
      </c>
      <c r="E295" s="320">
        <f>Données!E295</f>
        <v>1</v>
      </c>
      <c r="F295" s="321">
        <f>Données!F295</f>
        <v>316509.82</v>
      </c>
      <c r="G295" s="321">
        <f>Données!G295</f>
        <v>60681.95</v>
      </c>
      <c r="H295" s="321">
        <f>Données!H295</f>
        <v>-13087.55</v>
      </c>
      <c r="I295" s="321">
        <f>Données!I295</f>
        <v>283.05</v>
      </c>
      <c r="J295" s="321">
        <f>Données!J295</f>
        <v>0</v>
      </c>
      <c r="K295" s="321">
        <f>Données!K295</f>
        <v>0</v>
      </c>
      <c r="L295" s="321">
        <f>Données!L295</f>
        <v>-9270.2199999999993</v>
      </c>
      <c r="M295" s="321">
        <f>Données!M295</f>
        <v>0</v>
      </c>
      <c r="N295" s="321">
        <f>Données!N295</f>
        <v>-1264.0505338015287</v>
      </c>
      <c r="O295" s="321">
        <f>Données!O295</f>
        <v>36364.050000000003</v>
      </c>
      <c r="P295" s="321">
        <f>Données!P295</f>
        <v>8313.44</v>
      </c>
      <c r="Q295" s="321">
        <f>Données!Q295</f>
        <v>0</v>
      </c>
      <c r="R295" s="321">
        <f>Données!R295</f>
        <v>-396.7</v>
      </c>
      <c r="S295" s="313"/>
      <c r="T295" s="302">
        <f t="shared" si="24"/>
        <v>302270.54318310821</v>
      </c>
      <c r="U295" s="322">
        <f t="shared" si="25"/>
        <v>36364.050000000003</v>
      </c>
      <c r="V295" s="322">
        <f t="shared" si="26"/>
        <v>7916.7400000000007</v>
      </c>
      <c r="W295" s="323">
        <f t="shared" si="27"/>
        <v>346551.33318310819</v>
      </c>
      <c r="X295" s="302">
        <f t="shared" si="28"/>
        <v>1604.4043202921675</v>
      </c>
      <c r="Y295" s="324">
        <f t="shared" si="29"/>
        <v>0.48030094537079848</v>
      </c>
    </row>
    <row r="296" spans="1:25" x14ac:dyDescent="0.25">
      <c r="A296" s="148">
        <f>Données!A296</f>
        <v>5926</v>
      </c>
      <c r="B296" s="156" t="str">
        <f>Données!B296</f>
        <v>Pomy</v>
      </c>
      <c r="C296" s="318">
        <f>Données!C296</f>
        <v>877</v>
      </c>
      <c r="D296" s="319">
        <f>Données!D296</f>
        <v>71</v>
      </c>
      <c r="E296" s="320">
        <f>Données!E296</f>
        <v>1</v>
      </c>
      <c r="F296" s="321">
        <f>Données!F296</f>
        <v>1454847.12</v>
      </c>
      <c r="G296" s="321">
        <f>Données!G296</f>
        <v>237340.39</v>
      </c>
      <c r="H296" s="321">
        <f>Données!H296</f>
        <v>36467.65</v>
      </c>
      <c r="I296" s="321">
        <f>Données!I296</f>
        <v>2970.8</v>
      </c>
      <c r="J296" s="321">
        <f>Données!J296</f>
        <v>0</v>
      </c>
      <c r="K296" s="321">
        <f>Données!K296</f>
        <v>0</v>
      </c>
      <c r="L296" s="321">
        <f>Données!L296</f>
        <v>-29736.79</v>
      </c>
      <c r="M296" s="321">
        <f>Données!M296</f>
        <v>0</v>
      </c>
      <c r="N296" s="321">
        <f>Données!N296</f>
        <v>3893.3338884614709</v>
      </c>
      <c r="O296" s="321">
        <f>Données!O296</f>
        <v>153636.85</v>
      </c>
      <c r="P296" s="321">
        <f>Données!P296</f>
        <v>32929.17</v>
      </c>
      <c r="Q296" s="321">
        <f>Données!Q296</f>
        <v>0</v>
      </c>
      <c r="R296" s="321">
        <f>Données!R296</f>
        <v>-389.6</v>
      </c>
      <c r="S296" s="313"/>
      <c r="T296" s="302">
        <f t="shared" si="24"/>
        <v>1621307.3192545744</v>
      </c>
      <c r="U296" s="322">
        <f t="shared" si="25"/>
        <v>153636.85</v>
      </c>
      <c r="V296" s="322">
        <f t="shared" si="26"/>
        <v>32539.57</v>
      </c>
      <c r="W296" s="323">
        <f t="shared" si="27"/>
        <v>1807483.7392545745</v>
      </c>
      <c r="X296" s="302">
        <f t="shared" si="28"/>
        <v>2060.9848794236882</v>
      </c>
      <c r="Y296" s="324">
        <f t="shared" si="29"/>
        <v>0.61698474222623367</v>
      </c>
    </row>
    <row r="297" spans="1:25" x14ac:dyDescent="0.25">
      <c r="A297" s="148">
        <f>Données!A297</f>
        <v>5928</v>
      </c>
      <c r="B297" s="156" t="str">
        <f>Données!B297</f>
        <v>Rovray</v>
      </c>
      <c r="C297" s="318">
        <f>Données!C297</f>
        <v>195</v>
      </c>
      <c r="D297" s="319">
        <f>Données!D297</f>
        <v>73</v>
      </c>
      <c r="E297" s="320">
        <f>Données!E297</f>
        <v>1</v>
      </c>
      <c r="F297" s="321">
        <f>Données!F297</f>
        <v>346898.54</v>
      </c>
      <c r="G297" s="321">
        <f>Données!G297</f>
        <v>42002.28</v>
      </c>
      <c r="H297" s="321">
        <f>Données!H297</f>
        <v>15410.6</v>
      </c>
      <c r="I297" s="321">
        <f>Données!I297</f>
        <v>111.45</v>
      </c>
      <c r="J297" s="321">
        <f>Données!J297</f>
        <v>0</v>
      </c>
      <c r="K297" s="321">
        <f>Données!K297</f>
        <v>0</v>
      </c>
      <c r="L297" s="321">
        <f>Données!L297</f>
        <v>-1418.27</v>
      </c>
      <c r="M297" s="321">
        <f>Données!M297</f>
        <v>0</v>
      </c>
      <c r="N297" s="321">
        <f>Données!N297</f>
        <v>1532.3250098163942</v>
      </c>
      <c r="O297" s="321">
        <f>Données!O297</f>
        <v>28947</v>
      </c>
      <c r="P297" s="321">
        <f>Données!P297</f>
        <v>4328.16</v>
      </c>
      <c r="Q297" s="321">
        <f>Données!Q297</f>
        <v>0</v>
      </c>
      <c r="R297" s="321">
        <f>Données!R297</f>
        <v>0</v>
      </c>
      <c r="S297" s="313"/>
      <c r="T297" s="302">
        <f t="shared" si="24"/>
        <v>373968.77804724232</v>
      </c>
      <c r="U297" s="322">
        <f t="shared" si="25"/>
        <v>28947</v>
      </c>
      <c r="V297" s="322">
        <f t="shared" si="26"/>
        <v>4328.16</v>
      </c>
      <c r="W297" s="323">
        <f t="shared" si="27"/>
        <v>407243.93804724229</v>
      </c>
      <c r="X297" s="302">
        <f t="shared" si="28"/>
        <v>2088.4304515243193</v>
      </c>
      <c r="Y297" s="324">
        <f t="shared" si="29"/>
        <v>0.6252009593352571</v>
      </c>
    </row>
    <row r="298" spans="1:25" x14ac:dyDescent="0.25">
      <c r="A298" s="148">
        <f>Données!A298</f>
        <v>5929</v>
      </c>
      <c r="B298" s="156" t="str">
        <f>Données!B298</f>
        <v>Suchy</v>
      </c>
      <c r="C298" s="318">
        <f>Données!C298</f>
        <v>670</v>
      </c>
      <c r="D298" s="319">
        <f>Données!D298</f>
        <v>70</v>
      </c>
      <c r="E298" s="320">
        <f>Données!E298</f>
        <v>0.8</v>
      </c>
      <c r="F298" s="321">
        <f>Données!F298</f>
        <v>1264267.93</v>
      </c>
      <c r="G298" s="321">
        <f>Données!G298</f>
        <v>131534.64000000001</v>
      </c>
      <c r="H298" s="321">
        <f>Données!H298</f>
        <v>2768.95</v>
      </c>
      <c r="I298" s="321">
        <f>Données!I298</f>
        <v>2535.4499999999998</v>
      </c>
      <c r="J298" s="321">
        <f>Données!J298</f>
        <v>70371</v>
      </c>
      <c r="K298" s="321">
        <f>Données!K298</f>
        <v>175.56</v>
      </c>
      <c r="L298" s="321">
        <f>Données!L298</f>
        <v>-9611.02</v>
      </c>
      <c r="M298" s="321">
        <f>Données!M298</f>
        <v>-166.66</v>
      </c>
      <c r="N298" s="321">
        <f>Données!N298</f>
        <v>523.64634710428584</v>
      </c>
      <c r="O298" s="321">
        <f>Données!O298</f>
        <v>97221.15</v>
      </c>
      <c r="P298" s="321">
        <f>Données!P298</f>
        <v>23013.62</v>
      </c>
      <c r="Q298" s="321">
        <f>Données!Q298</f>
        <v>0</v>
      </c>
      <c r="R298" s="321">
        <f>Données!R298</f>
        <v>0</v>
      </c>
      <c r="S298" s="313"/>
      <c r="T298" s="302">
        <f t="shared" si="24"/>
        <v>1409834.1470890017</v>
      </c>
      <c r="U298" s="322">
        <f t="shared" si="25"/>
        <v>121526.43749999999</v>
      </c>
      <c r="V298" s="322">
        <f t="shared" si="26"/>
        <v>23013.62</v>
      </c>
      <c r="W298" s="323">
        <f t="shared" si="27"/>
        <v>1554374.2045890018</v>
      </c>
      <c r="X298" s="302">
        <f t="shared" si="28"/>
        <v>2319.9614993865698</v>
      </c>
      <c r="Y298" s="324">
        <f t="shared" si="29"/>
        <v>0.6945130272251514</v>
      </c>
    </row>
    <row r="299" spans="1:25" x14ac:dyDescent="0.25">
      <c r="A299" s="148">
        <f>Données!A299</f>
        <v>5930</v>
      </c>
      <c r="B299" s="156" t="str">
        <f>Données!B299</f>
        <v>Suscévaz</v>
      </c>
      <c r="C299" s="318">
        <f>Données!C299</f>
        <v>237</v>
      </c>
      <c r="D299" s="319">
        <f>Données!D299</f>
        <v>72</v>
      </c>
      <c r="E299" s="320">
        <f>Données!E299</f>
        <v>1</v>
      </c>
      <c r="F299" s="321">
        <f>Données!F299</f>
        <v>282012.06</v>
      </c>
      <c r="G299" s="321">
        <f>Données!G299</f>
        <v>40874.06</v>
      </c>
      <c r="H299" s="321">
        <f>Données!H299</f>
        <v>-515.25</v>
      </c>
      <c r="I299" s="321">
        <f>Données!I299</f>
        <v>264.95</v>
      </c>
      <c r="J299" s="321">
        <f>Données!J299</f>
        <v>0</v>
      </c>
      <c r="K299" s="321">
        <f>Données!K299</f>
        <v>0</v>
      </c>
      <c r="L299" s="321">
        <f>Données!L299</f>
        <v>-3787.72</v>
      </c>
      <c r="M299" s="321">
        <f>Données!M299</f>
        <v>0</v>
      </c>
      <c r="N299" s="321">
        <f>Données!N299</f>
        <v>-24.709426265025783</v>
      </c>
      <c r="O299" s="321">
        <f>Données!O299</f>
        <v>32768.949999999997</v>
      </c>
      <c r="P299" s="321">
        <f>Données!P299</f>
        <v>15181.11</v>
      </c>
      <c r="Q299" s="321">
        <f>Données!Q299</f>
        <v>944.1</v>
      </c>
      <c r="R299" s="321">
        <f>Données!R299</f>
        <v>0</v>
      </c>
      <c r="S299" s="313"/>
      <c r="T299" s="302">
        <f t="shared" si="24"/>
        <v>298825.54211514321</v>
      </c>
      <c r="U299" s="322">
        <f t="shared" si="25"/>
        <v>32768.949999999997</v>
      </c>
      <c r="V299" s="322">
        <f t="shared" si="26"/>
        <v>16125.210000000001</v>
      </c>
      <c r="W299" s="323">
        <f t="shared" si="27"/>
        <v>347719.70211514324</v>
      </c>
      <c r="X299" s="302">
        <f t="shared" si="28"/>
        <v>1467.1717388824609</v>
      </c>
      <c r="Y299" s="324">
        <f t="shared" si="29"/>
        <v>0.43921844655606446</v>
      </c>
    </row>
    <row r="300" spans="1:25" x14ac:dyDescent="0.25">
      <c r="A300" s="148">
        <f>Données!A300</f>
        <v>5931</v>
      </c>
      <c r="B300" s="156" t="str">
        <f>Données!B300</f>
        <v>Treycovagnes</v>
      </c>
      <c r="C300" s="318">
        <f>Données!C300</f>
        <v>513</v>
      </c>
      <c r="D300" s="319">
        <f>Données!D300</f>
        <v>73</v>
      </c>
      <c r="E300" s="320">
        <f>Données!E300</f>
        <v>1</v>
      </c>
      <c r="F300" s="321">
        <f>Données!F300</f>
        <v>942569.94</v>
      </c>
      <c r="G300" s="321">
        <f>Données!G300</f>
        <v>83955.87</v>
      </c>
      <c r="H300" s="321">
        <f>Données!H300</f>
        <v>56763.8</v>
      </c>
      <c r="I300" s="321">
        <f>Données!I300</f>
        <v>866.5</v>
      </c>
      <c r="J300" s="321">
        <f>Données!J300</f>
        <v>0</v>
      </c>
      <c r="K300" s="321">
        <f>Données!K300</f>
        <v>0</v>
      </c>
      <c r="L300" s="321">
        <f>Données!L300</f>
        <v>-2128.6799999999998</v>
      </c>
      <c r="M300" s="321">
        <f>Données!M300</f>
        <v>0</v>
      </c>
      <c r="N300" s="321">
        <f>Données!N300</f>
        <v>5689.2195304886754</v>
      </c>
      <c r="O300" s="321">
        <f>Données!O300</f>
        <v>92744.75</v>
      </c>
      <c r="P300" s="321">
        <f>Données!P300</f>
        <v>22066.43</v>
      </c>
      <c r="Q300" s="321">
        <f>Données!Q300</f>
        <v>1328.4</v>
      </c>
      <c r="R300" s="321">
        <f>Données!R300</f>
        <v>-22.4</v>
      </c>
      <c r="S300" s="313"/>
      <c r="T300" s="302">
        <f t="shared" si="24"/>
        <v>1005525.1848188809</v>
      </c>
      <c r="U300" s="322">
        <f t="shared" si="25"/>
        <v>92744.75</v>
      </c>
      <c r="V300" s="322">
        <f t="shared" si="26"/>
        <v>23372.43</v>
      </c>
      <c r="W300" s="323">
        <f t="shared" si="27"/>
        <v>1121642.3648188808</v>
      </c>
      <c r="X300" s="302">
        <f t="shared" si="28"/>
        <v>2186.4373583214051</v>
      </c>
      <c r="Y300" s="324">
        <f t="shared" si="29"/>
        <v>0.65454070206228732</v>
      </c>
    </row>
    <row r="301" spans="1:25" x14ac:dyDescent="0.25">
      <c r="A301" s="148">
        <f>Données!A301</f>
        <v>5932</v>
      </c>
      <c r="B301" s="156" t="str">
        <f>Données!B301</f>
        <v>Ursins</v>
      </c>
      <c r="C301" s="318">
        <f>Données!C301</f>
        <v>233</v>
      </c>
      <c r="D301" s="319">
        <f>Données!D301</f>
        <v>75</v>
      </c>
      <c r="E301" s="320">
        <f>Données!E301</f>
        <v>1</v>
      </c>
      <c r="F301" s="321">
        <f>Données!F301</f>
        <v>539371.52000000002</v>
      </c>
      <c r="G301" s="321">
        <f>Données!G301</f>
        <v>74082.78</v>
      </c>
      <c r="H301" s="321">
        <f>Données!H301</f>
        <v>1792.55</v>
      </c>
      <c r="I301" s="321">
        <f>Données!I301</f>
        <v>470.4</v>
      </c>
      <c r="J301" s="321">
        <f>Données!J301</f>
        <v>44745.65</v>
      </c>
      <c r="K301" s="321">
        <f>Données!K301</f>
        <v>4403.49</v>
      </c>
      <c r="L301" s="321">
        <f>Données!L301</f>
        <v>-10879.26</v>
      </c>
      <c r="M301" s="321">
        <f>Données!M301</f>
        <v>0</v>
      </c>
      <c r="N301" s="321">
        <f>Données!N301</f>
        <v>223.39670861542186</v>
      </c>
      <c r="O301" s="321">
        <f>Données!O301</f>
        <v>35358.800000000003</v>
      </c>
      <c r="P301" s="321">
        <f>Données!P301</f>
        <v>6552.82</v>
      </c>
      <c r="Q301" s="321">
        <f>Données!Q301</f>
        <v>819.5</v>
      </c>
      <c r="R301" s="321">
        <f>Données!R301</f>
        <v>-111.45</v>
      </c>
      <c r="S301" s="313"/>
      <c r="T301" s="302">
        <f t="shared" si="24"/>
        <v>588648.85148910037</v>
      </c>
      <c r="U301" s="322">
        <f t="shared" si="25"/>
        <v>35358.800000000003</v>
      </c>
      <c r="V301" s="322">
        <f t="shared" si="26"/>
        <v>7260.87</v>
      </c>
      <c r="W301" s="323">
        <f t="shared" si="27"/>
        <v>631268.52148910041</v>
      </c>
      <c r="X301" s="302">
        <f t="shared" si="28"/>
        <v>2709.3069591806884</v>
      </c>
      <c r="Y301" s="324">
        <f t="shared" si="29"/>
        <v>0.81106905368915982</v>
      </c>
    </row>
    <row r="302" spans="1:25" x14ac:dyDescent="0.25">
      <c r="A302" s="148">
        <f>Données!A302</f>
        <v>5933</v>
      </c>
      <c r="B302" s="156" t="str">
        <f>Données!B302</f>
        <v>Valeyres-sous-Montagny</v>
      </c>
      <c r="C302" s="318">
        <f>Données!C302</f>
        <v>706</v>
      </c>
      <c r="D302" s="319">
        <f>Données!D302</f>
        <v>70.5</v>
      </c>
      <c r="E302" s="320">
        <f>Données!E302</f>
        <v>1</v>
      </c>
      <c r="F302" s="321">
        <f>Données!F302</f>
        <v>1279744.8700000001</v>
      </c>
      <c r="G302" s="321">
        <f>Données!G302</f>
        <v>195526.69</v>
      </c>
      <c r="H302" s="321">
        <f>Données!H302</f>
        <v>38742.050000000003</v>
      </c>
      <c r="I302" s="321">
        <f>Données!I302</f>
        <v>2625.45</v>
      </c>
      <c r="J302" s="321">
        <f>Données!J302</f>
        <v>0</v>
      </c>
      <c r="K302" s="321">
        <f>Données!K302</f>
        <v>6281.26</v>
      </c>
      <c r="L302" s="321">
        <f>Données!L302</f>
        <v>-27548.2</v>
      </c>
      <c r="M302" s="321">
        <f>Données!M302</f>
        <v>0</v>
      </c>
      <c r="N302" s="321">
        <f>Données!N302</f>
        <v>4083.7682421831964</v>
      </c>
      <c r="O302" s="321">
        <f>Données!O302</f>
        <v>129745.05</v>
      </c>
      <c r="P302" s="321">
        <f>Données!P302</f>
        <v>9532.19</v>
      </c>
      <c r="Q302" s="321">
        <f>Données!Q302</f>
        <v>3256.55</v>
      </c>
      <c r="R302" s="321">
        <f>Données!R302</f>
        <v>0</v>
      </c>
      <c r="S302" s="313"/>
      <c r="T302" s="302">
        <f t="shared" si="24"/>
        <v>1435306.3738128704</v>
      </c>
      <c r="U302" s="322">
        <f t="shared" si="25"/>
        <v>129745.05</v>
      </c>
      <c r="V302" s="322">
        <f t="shared" si="26"/>
        <v>12788.740000000002</v>
      </c>
      <c r="W302" s="323">
        <f t="shared" si="27"/>
        <v>1577840.1638128704</v>
      </c>
      <c r="X302" s="302">
        <f t="shared" si="28"/>
        <v>2234.9010818879183</v>
      </c>
      <c r="Y302" s="324">
        <f t="shared" si="29"/>
        <v>0.66904899772740145</v>
      </c>
    </row>
    <row r="303" spans="1:25" x14ac:dyDescent="0.25">
      <c r="A303" s="148">
        <f>Données!A303</f>
        <v>5934</v>
      </c>
      <c r="B303" s="156" t="str">
        <f>Données!B303</f>
        <v>Valeyres-sous-Ursins</v>
      </c>
      <c r="C303" s="318">
        <f>Données!C303</f>
        <v>236</v>
      </c>
      <c r="D303" s="319">
        <f>Données!D303</f>
        <v>77</v>
      </c>
      <c r="E303" s="320">
        <f>Données!E303</f>
        <v>1</v>
      </c>
      <c r="F303" s="321">
        <f>Données!F303</f>
        <v>513555.23</v>
      </c>
      <c r="G303" s="321">
        <f>Données!G303</f>
        <v>115606.84</v>
      </c>
      <c r="H303" s="321">
        <f>Données!H303</f>
        <v>1325.25</v>
      </c>
      <c r="I303" s="321">
        <f>Données!I303</f>
        <v>134.30000000000001</v>
      </c>
      <c r="J303" s="321">
        <f>Données!J303</f>
        <v>0</v>
      </c>
      <c r="K303" s="321">
        <f>Données!K303</f>
        <v>0</v>
      </c>
      <c r="L303" s="321">
        <f>Données!L303</f>
        <v>-3138.66</v>
      </c>
      <c r="M303" s="321">
        <f>Données!M303</f>
        <v>0</v>
      </c>
      <c r="N303" s="321">
        <f>Données!N303</f>
        <v>144.08566961693319</v>
      </c>
      <c r="O303" s="321">
        <f>Données!O303</f>
        <v>31308.7</v>
      </c>
      <c r="P303" s="321">
        <f>Données!P303</f>
        <v>-714.03</v>
      </c>
      <c r="Q303" s="321">
        <f>Données!Q303</f>
        <v>1741</v>
      </c>
      <c r="R303" s="321">
        <f>Données!R303</f>
        <v>0</v>
      </c>
      <c r="S303" s="313"/>
      <c r="T303" s="302">
        <f t="shared" si="24"/>
        <v>550061.13572053809</v>
      </c>
      <c r="U303" s="322">
        <f t="shared" si="25"/>
        <v>31308.7</v>
      </c>
      <c r="V303" s="322">
        <f t="shared" si="26"/>
        <v>1026.97</v>
      </c>
      <c r="W303" s="323">
        <f t="shared" si="27"/>
        <v>582396.80572053802</v>
      </c>
      <c r="X303" s="302">
        <f t="shared" si="28"/>
        <v>2467.7830750870253</v>
      </c>
      <c r="Y303" s="324">
        <f t="shared" si="29"/>
        <v>0.73876549005958247</v>
      </c>
    </row>
    <row r="304" spans="1:25" x14ac:dyDescent="0.25">
      <c r="A304" s="148">
        <f>Données!A304</f>
        <v>5935</v>
      </c>
      <c r="B304" s="156" t="str">
        <f>Données!B304</f>
        <v>Villars-Epeney</v>
      </c>
      <c r="C304" s="318">
        <f>Données!C304</f>
        <v>108</v>
      </c>
      <c r="D304" s="319">
        <f>Données!D304</f>
        <v>68</v>
      </c>
      <c r="E304" s="320">
        <f>Données!E304</f>
        <v>1</v>
      </c>
      <c r="F304" s="321">
        <f>Données!F304</f>
        <v>272234.82999999996</v>
      </c>
      <c r="G304" s="321">
        <f>Données!G304</f>
        <v>164947.85999999999</v>
      </c>
      <c r="H304" s="321">
        <f>Données!H304</f>
        <v>3399.35</v>
      </c>
      <c r="I304" s="321">
        <f>Données!I304</f>
        <v>-257.3</v>
      </c>
      <c r="J304" s="321">
        <f>Données!J304</f>
        <v>0</v>
      </c>
      <c r="K304" s="321">
        <f>Données!K304</f>
        <v>0</v>
      </c>
      <c r="L304" s="321">
        <f>Données!L304</f>
        <v>-114859.24</v>
      </c>
      <c r="M304" s="321">
        <f>Données!M304</f>
        <v>0</v>
      </c>
      <c r="N304" s="321">
        <f>Données!N304</f>
        <v>310.18079423101977</v>
      </c>
      <c r="O304" s="321">
        <f>Données!O304</f>
        <v>25725.9</v>
      </c>
      <c r="P304" s="321">
        <f>Données!P304</f>
        <v>1642.79</v>
      </c>
      <c r="Q304" s="321">
        <f>Données!Q304</f>
        <v>0</v>
      </c>
      <c r="R304" s="321">
        <f>Données!R304</f>
        <v>-1054.9000000000001</v>
      </c>
      <c r="S304" s="313"/>
      <c r="T304" s="302">
        <f t="shared" si="24"/>
        <v>323303.03739071038</v>
      </c>
      <c r="U304" s="322">
        <f t="shared" si="25"/>
        <v>25725.9</v>
      </c>
      <c r="V304" s="322">
        <f t="shared" si="26"/>
        <v>587.88999999999987</v>
      </c>
      <c r="W304" s="323">
        <f t="shared" si="27"/>
        <v>349616.82739071042</v>
      </c>
      <c r="X304" s="302">
        <f t="shared" si="28"/>
        <v>3237.1928462102815</v>
      </c>
      <c r="Y304" s="324">
        <f t="shared" si="29"/>
        <v>0.96909910096679674</v>
      </c>
    </row>
    <row r="305" spans="1:25" x14ac:dyDescent="0.25">
      <c r="A305" s="148">
        <f>Données!A305</f>
        <v>5937</v>
      </c>
      <c r="B305" s="156" t="str">
        <f>Données!B305</f>
        <v>Vugelles-La Mothe</v>
      </c>
      <c r="C305" s="318">
        <f>Données!C305</f>
        <v>147</v>
      </c>
      <c r="D305" s="319">
        <f>Données!D305</f>
        <v>70</v>
      </c>
      <c r="E305" s="320">
        <f>Données!E305</f>
        <v>0.7</v>
      </c>
      <c r="F305" s="321">
        <f>Données!F305</f>
        <v>242785.63</v>
      </c>
      <c r="G305" s="321">
        <f>Données!G305</f>
        <v>34482.74</v>
      </c>
      <c r="H305" s="321">
        <f>Données!H305</f>
        <v>2466.5500000000002</v>
      </c>
      <c r="I305" s="321">
        <f>Données!I305</f>
        <v>63.45</v>
      </c>
      <c r="J305" s="321">
        <f>Données!J305</f>
        <v>0</v>
      </c>
      <c r="K305" s="321">
        <f>Données!K305</f>
        <v>2041.03</v>
      </c>
      <c r="L305" s="321">
        <f>Données!L305</f>
        <v>-1300.98</v>
      </c>
      <c r="M305" s="321">
        <f>Données!M305</f>
        <v>0</v>
      </c>
      <c r="N305" s="321">
        <f>Données!N305</f>
        <v>249.75968218344079</v>
      </c>
      <c r="O305" s="321">
        <f>Données!O305</f>
        <v>14005.88</v>
      </c>
      <c r="P305" s="321">
        <f>Données!P305</f>
        <v>9018.6</v>
      </c>
      <c r="Q305" s="321">
        <f>Données!Q305</f>
        <v>0</v>
      </c>
      <c r="R305" s="321">
        <f>Données!R305</f>
        <v>-79.5</v>
      </c>
      <c r="S305" s="313"/>
      <c r="T305" s="302">
        <f t="shared" si="24"/>
        <v>270695.36388909217</v>
      </c>
      <c r="U305" s="322">
        <f t="shared" si="25"/>
        <v>20008.400000000001</v>
      </c>
      <c r="V305" s="322">
        <f t="shared" si="26"/>
        <v>8939.1</v>
      </c>
      <c r="W305" s="323">
        <f t="shared" si="27"/>
        <v>299642.86388909217</v>
      </c>
      <c r="X305" s="302">
        <f t="shared" si="28"/>
        <v>2038.3868291774977</v>
      </c>
      <c r="Y305" s="324">
        <f t="shared" si="29"/>
        <v>0.61021969880201399</v>
      </c>
    </row>
    <row r="306" spans="1:25" x14ac:dyDescent="0.25">
      <c r="A306" s="148">
        <f>Données!A306</f>
        <v>5938</v>
      </c>
      <c r="B306" s="156" t="str">
        <f>Données!B306</f>
        <v>Yverdon-les-Bains</v>
      </c>
      <c r="C306" s="318">
        <f>Données!C306</f>
        <v>30332</v>
      </c>
      <c r="D306" s="319">
        <f>Données!D306</f>
        <v>75</v>
      </c>
      <c r="E306" s="320">
        <f>Données!E306</f>
        <v>1.5</v>
      </c>
      <c r="F306" s="321">
        <f>Données!F306</f>
        <v>42449217.979999997</v>
      </c>
      <c r="G306" s="321">
        <f>Données!G306</f>
        <v>4890791.0599999996</v>
      </c>
      <c r="H306" s="321">
        <f>Données!H306</f>
        <v>4364720.2</v>
      </c>
      <c r="I306" s="321">
        <f>Données!I306</f>
        <v>736066.95</v>
      </c>
      <c r="J306" s="321">
        <f>Données!J306</f>
        <v>0</v>
      </c>
      <c r="K306" s="321">
        <f>Données!K306</f>
        <v>232479.99</v>
      </c>
      <c r="L306" s="321">
        <f>Données!L306</f>
        <v>-1025577.19</v>
      </c>
      <c r="M306" s="321">
        <f>Données!M306</f>
        <v>-71073.98</v>
      </c>
      <c r="N306" s="321">
        <f>Données!N306</f>
        <v>503545.84089698765</v>
      </c>
      <c r="O306" s="321">
        <f>Données!O306</f>
        <v>7327616.6500000004</v>
      </c>
      <c r="P306" s="321">
        <f>Données!P306</f>
        <v>2427350.33</v>
      </c>
      <c r="Q306" s="321">
        <f>Données!Q306</f>
        <v>693783.1</v>
      </c>
      <c r="R306" s="321">
        <f>Données!R306</f>
        <v>-12256.56</v>
      </c>
      <c r="S306" s="313"/>
      <c r="T306" s="302">
        <f t="shared" si="24"/>
        <v>46860959.133406296</v>
      </c>
      <c r="U306" s="322">
        <f t="shared" si="25"/>
        <v>4885077.7666666666</v>
      </c>
      <c r="V306" s="322">
        <f t="shared" si="26"/>
        <v>3108876.87</v>
      </c>
      <c r="W306" s="323">
        <f t="shared" si="27"/>
        <v>54854913.770072959</v>
      </c>
      <c r="X306" s="302">
        <f t="shared" si="28"/>
        <v>1808.4832444307319</v>
      </c>
      <c r="Y306" s="324">
        <f t="shared" si="29"/>
        <v>0.54139483483137929</v>
      </c>
    </row>
    <row r="307" spans="1:25" x14ac:dyDescent="0.25">
      <c r="A307" s="150">
        <f>Données!A307</f>
        <v>5939</v>
      </c>
      <c r="B307" s="157" t="str">
        <f>Données!B307</f>
        <v>Yvonand</v>
      </c>
      <c r="C307" s="318">
        <f>Données!C307</f>
        <v>3525</v>
      </c>
      <c r="D307" s="325">
        <f>Données!D307</f>
        <v>71.5</v>
      </c>
      <c r="E307" s="326">
        <f>Données!E307</f>
        <v>1</v>
      </c>
      <c r="F307" s="321">
        <f>Données!F307</f>
        <v>5266774.01</v>
      </c>
      <c r="G307" s="321">
        <f>Données!G307</f>
        <v>720862.36</v>
      </c>
      <c r="H307" s="321">
        <f>Données!H307</f>
        <v>173065.8</v>
      </c>
      <c r="I307" s="321">
        <f>Données!I307</f>
        <v>39118.85</v>
      </c>
      <c r="J307" s="321">
        <f>Données!J307</f>
        <v>0</v>
      </c>
      <c r="K307" s="321">
        <f>Données!K307</f>
        <v>24391.85</v>
      </c>
      <c r="L307" s="321">
        <f>Données!L307</f>
        <v>-97003.89</v>
      </c>
      <c r="M307" s="321">
        <f>Données!M307</f>
        <v>-950</v>
      </c>
      <c r="N307" s="321">
        <f>Données!N307</f>
        <v>20946.707805614475</v>
      </c>
      <c r="O307" s="321">
        <f>Données!O307</f>
        <v>618122.6</v>
      </c>
      <c r="P307" s="321">
        <f>Données!P307</f>
        <v>39528.58</v>
      </c>
      <c r="Q307" s="321">
        <f>Données!Q307</f>
        <v>58253.599999999999</v>
      </c>
      <c r="R307" s="321">
        <f>Données!R307</f>
        <v>-927.27</v>
      </c>
      <c r="S307" s="313"/>
      <c r="T307" s="327">
        <f t="shared" si="24"/>
        <v>5801920.046014647</v>
      </c>
      <c r="U307" s="328">
        <f t="shared" si="25"/>
        <v>618122.6</v>
      </c>
      <c r="V307" s="328">
        <f t="shared" si="26"/>
        <v>96854.909999999989</v>
      </c>
      <c r="W307" s="329">
        <f t="shared" si="27"/>
        <v>6516897.5560146468</v>
      </c>
      <c r="X307" s="327">
        <f t="shared" si="28"/>
        <v>1848.7652641176303</v>
      </c>
      <c r="Y307" s="330">
        <f t="shared" si="29"/>
        <v>0.55345382263910292</v>
      </c>
    </row>
    <row r="308" spans="1:25" s="77" customFormat="1" x14ac:dyDescent="0.25">
      <c r="A308" s="531" t="s">
        <v>25</v>
      </c>
      <c r="B308" s="532"/>
      <c r="C308" s="331">
        <f>SUM(C8:C307)</f>
        <v>855749</v>
      </c>
      <c r="D308" s="331" t="s">
        <v>26</v>
      </c>
      <c r="E308" s="331" t="s">
        <v>26</v>
      </c>
      <c r="F308" s="331">
        <f>SUM(F8:F307)</f>
        <v>1783861508.1199992</v>
      </c>
      <c r="G308" s="331">
        <f>SUM(G8:G307)</f>
        <v>347714488.46999985</v>
      </c>
      <c r="H308" s="331">
        <f>SUM(H8:H307)</f>
        <v>345429961.95999998</v>
      </c>
      <c r="I308" s="331">
        <f>SUM(I8:I307)</f>
        <v>35391609.700000018</v>
      </c>
      <c r="J308" s="331">
        <f>SUM(J8:J307)</f>
        <v>44826462.00999999</v>
      </c>
      <c r="K308" s="331">
        <f t="shared" ref="K308:L308" si="30">SUM(K8:K307)</f>
        <v>8628075.7899999935</v>
      </c>
      <c r="L308" s="331">
        <f t="shared" si="30"/>
        <v>-34994329.659999996</v>
      </c>
      <c r="M308" s="331">
        <f t="shared" ref="M308:R308" si="31">SUM(M8:M307)</f>
        <v>-1722316.1599999992</v>
      </c>
      <c r="N308" s="331">
        <f t="shared" si="31"/>
        <v>37594416.880000003</v>
      </c>
      <c r="O308" s="331">
        <f t="shared" si="31"/>
        <v>246005767.33000001</v>
      </c>
      <c r="P308" s="331">
        <f t="shared" si="31"/>
        <v>77296066.49000001</v>
      </c>
      <c r="Q308" s="331">
        <f t="shared" si="31"/>
        <v>23612131.200000018</v>
      </c>
      <c r="R308" s="331">
        <f t="shared" si="31"/>
        <v>-12508888.830000006</v>
      </c>
      <c r="S308" s="332"/>
      <c r="T308" s="333">
        <f>SUM(T8:T307)</f>
        <v>2566729877.1099973</v>
      </c>
      <c r="U308" s="333">
        <f>SUM(U8:U307)</f>
        <v>203427320.98368701</v>
      </c>
      <c r="V308" s="333">
        <f>SUM(V8:V307)</f>
        <v>88399308.860000014</v>
      </c>
      <c r="W308" s="334">
        <f t="shared" si="27"/>
        <v>2858556506.9536843</v>
      </c>
      <c r="X308" s="333">
        <f t="shared" si="28"/>
        <v>3340.4146624228415</v>
      </c>
      <c r="Y308" s="335">
        <f t="shared" si="29"/>
        <v>1</v>
      </c>
    </row>
  </sheetData>
  <sheetProtection sheet="1" objects="1" scenarios="1"/>
  <mergeCells count="25">
    <mergeCell ref="N6:N7"/>
    <mergeCell ref="O6:O7"/>
    <mergeCell ref="P6:P7"/>
    <mergeCell ref="Q6:Q7"/>
    <mergeCell ref="R6:R7"/>
    <mergeCell ref="W6:Y6"/>
    <mergeCell ref="T6:T7"/>
    <mergeCell ref="U6:U7"/>
    <mergeCell ref="V6:V7"/>
    <mergeCell ref="T2:T3"/>
    <mergeCell ref="U2:U3"/>
    <mergeCell ref="A308:B308"/>
    <mergeCell ref="A6:A7"/>
    <mergeCell ref="B6:B7"/>
    <mergeCell ref="C6:C7"/>
    <mergeCell ref="D6:D7"/>
    <mergeCell ref="J6:J7"/>
    <mergeCell ref="K6:K7"/>
    <mergeCell ref="L6:L7"/>
    <mergeCell ref="M6:M7"/>
    <mergeCell ref="E6:E7"/>
    <mergeCell ref="F6:F7"/>
    <mergeCell ref="G6:G7"/>
    <mergeCell ref="H6:H7"/>
    <mergeCell ref="I6:I7"/>
  </mergeCells>
  <hyperlinks>
    <hyperlink ref="F1" location="Données!A1" display="← Précédent" xr:uid="{45228680-B438-40F6-BA86-EBE35B041B02}"/>
    <hyperlink ref="G1" location="'Table des matières'!A1" display="Table des matières" xr:uid="{F5D218E0-01E9-467F-8B2C-16D0EA3044E8}"/>
    <hyperlink ref="H1" location="Ressources!A1" display="Suivant →" xr:uid="{92F0F4A8-DC11-475F-B0F9-CCB78BA7B6A6}"/>
  </hyperlinks>
  <pageMargins left="0.70866141732283472" right="0.70866141732283472" top="0.74803149606299213" bottom="0.74803149606299213" header="0.31496062992125984" footer="0.31496062992125984"/>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BC96-F79D-4BD5-AE0F-0FA12C271223}">
  <sheetPr codeName="Feuil3">
    <tabColor theme="7" tint="0.79998168889431442"/>
    <pageSetUpPr fitToPage="1"/>
  </sheetPr>
  <dimension ref="A1:W309"/>
  <sheetViews>
    <sheetView zoomScale="90" zoomScaleNormal="90" workbookViewId="0">
      <pane ySplit="7" topLeftCell="A8" activePane="bottomLeft" state="frozen"/>
      <selection pane="bottomLeft"/>
    </sheetView>
  </sheetViews>
  <sheetFormatPr baseColWidth="10" defaultRowHeight="15" x14ac:dyDescent="0.25"/>
  <cols>
    <col min="1" max="1" width="7.140625" style="13" customWidth="1"/>
    <col min="2" max="2" width="27.28515625" style="13" customWidth="1"/>
    <col min="3" max="3" width="10.7109375" style="13" bestFit="1" customWidth="1"/>
    <col min="4" max="4" width="15.42578125" style="13" customWidth="1"/>
    <col min="5" max="5" width="4.28515625" style="20" customWidth="1"/>
    <col min="6" max="6" width="11.140625" style="13" customWidth="1"/>
    <col min="7" max="7" width="11" style="13" customWidth="1"/>
    <col min="8" max="8" width="14.28515625" style="13" customWidth="1"/>
    <col min="9" max="9" width="4.28515625" style="13" customWidth="1"/>
    <col min="10" max="10" width="17.7109375" style="13" bestFit="1" customWidth="1"/>
    <col min="11" max="11" width="10" style="13" customWidth="1"/>
    <col min="12" max="12" width="12.28515625" style="13" bestFit="1" customWidth="1"/>
    <col min="13" max="13" width="4.28515625" style="13" customWidth="1"/>
    <col min="14" max="17" width="13.28515625" style="13" customWidth="1"/>
    <col min="18" max="18" width="15.7109375" style="13" customWidth="1"/>
    <col min="19" max="20" width="15.85546875" style="13" customWidth="1"/>
    <col min="21" max="23" width="13" style="13" customWidth="1"/>
    <col min="24" max="16384" width="11.42578125" style="13"/>
  </cols>
  <sheetData>
    <row r="1" spans="1:23" ht="26.25" customHeight="1" x14ac:dyDescent="0.25">
      <c r="A1" s="136" t="s">
        <v>2</v>
      </c>
      <c r="D1" s="548" t="s">
        <v>442</v>
      </c>
      <c r="E1" s="548"/>
      <c r="F1" s="135" t="s">
        <v>443</v>
      </c>
      <c r="G1" s="132" t="s">
        <v>444</v>
      </c>
      <c r="H1" s="106"/>
    </row>
    <row r="2" spans="1:23" s="20" customFormat="1" ht="15" customHeight="1" x14ac:dyDescent="0.25">
      <c r="A2" s="64" t="str">
        <f>_xlfn.CONCAT(Paramètres!M5," ",Paramètres!N5)</f>
        <v>Décompte prévisionnel 2026</v>
      </c>
      <c r="B2" s="22"/>
      <c r="C2" s="22"/>
      <c r="F2" s="539"/>
      <c r="G2" s="539"/>
      <c r="J2" s="31"/>
    </row>
    <row r="3" spans="1:23" s="35" customFormat="1" ht="15" customHeight="1" x14ac:dyDescent="0.25">
      <c r="A3" s="100"/>
      <c r="F3" s="542" t="s">
        <v>430</v>
      </c>
      <c r="G3" s="543"/>
      <c r="H3" s="544"/>
      <c r="J3" s="542" t="s">
        <v>11</v>
      </c>
      <c r="K3" s="544"/>
      <c r="L3" s="556">
        <f>Paramètres!C6</f>
        <v>0.9</v>
      </c>
      <c r="N3" s="542" t="s">
        <v>20</v>
      </c>
      <c r="O3" s="543"/>
      <c r="P3" s="543"/>
      <c r="Q3" s="543"/>
      <c r="R3" s="543"/>
      <c r="S3" s="543"/>
      <c r="T3" s="544"/>
    </row>
    <row r="4" spans="1:23" ht="15" customHeight="1" x14ac:dyDescent="0.25">
      <c r="D4" s="59"/>
      <c r="E4" s="22"/>
      <c r="F4" s="545"/>
      <c r="G4" s="546"/>
      <c r="H4" s="547"/>
      <c r="J4" s="554"/>
      <c r="K4" s="555"/>
      <c r="L4" s="557"/>
      <c r="M4" s="32"/>
      <c r="N4" s="545"/>
      <c r="O4" s="546"/>
      <c r="P4" s="546"/>
      <c r="Q4" s="546"/>
      <c r="R4" s="546"/>
      <c r="S4" s="546"/>
      <c r="T4" s="547"/>
    </row>
    <row r="5" spans="1:23" x14ac:dyDescent="0.25">
      <c r="D5" s="20"/>
      <c r="F5" s="103" t="s">
        <v>58</v>
      </c>
      <c r="G5" s="104" t="s">
        <v>31</v>
      </c>
      <c r="H5" s="105" t="s">
        <v>441</v>
      </c>
      <c r="J5" s="103" t="s">
        <v>496</v>
      </c>
      <c r="K5" s="104" t="s">
        <v>559</v>
      </c>
      <c r="L5" s="105" t="s">
        <v>21</v>
      </c>
      <c r="N5" s="549" t="s">
        <v>404</v>
      </c>
      <c r="O5" s="550"/>
      <c r="P5" s="550"/>
      <c r="Q5" s="550"/>
      <c r="R5" s="104" t="s">
        <v>21</v>
      </c>
      <c r="S5" s="104" t="s">
        <v>493</v>
      </c>
      <c r="T5" s="105" t="s">
        <v>495</v>
      </c>
    </row>
    <row r="6" spans="1:23" s="19" customFormat="1" ht="15" customHeight="1" x14ac:dyDescent="0.25">
      <c r="A6" s="519" t="s">
        <v>0</v>
      </c>
      <c r="B6" s="551" t="s">
        <v>1</v>
      </c>
      <c r="C6" s="496" t="s">
        <v>29</v>
      </c>
      <c r="D6" s="552" t="s">
        <v>57</v>
      </c>
      <c r="E6" s="29"/>
      <c r="F6" s="36">
        <f>F308</f>
        <v>3340.4146624228424</v>
      </c>
      <c r="G6" s="162">
        <f>Paramètres!C5</f>
        <v>0.8</v>
      </c>
      <c r="H6" s="102" t="str">
        <f>IF(ROUND(H308,5)=0,"OK","ERREUR")</f>
        <v>OK</v>
      </c>
      <c r="J6" s="230">
        <f>J308</f>
        <v>3340.4146624228406</v>
      </c>
      <c r="K6" s="36">
        <f>J6*L3</f>
        <v>3006.3731961805565</v>
      </c>
      <c r="L6" s="36">
        <f>L308</f>
        <v>-2013825</v>
      </c>
      <c r="M6" s="33"/>
      <c r="N6" s="163">
        <f>Paramètres!C9</f>
        <v>0.5</v>
      </c>
      <c r="O6" s="163">
        <f>Paramètres!C9</f>
        <v>0.5</v>
      </c>
      <c r="P6" s="163">
        <f>Paramètres!C9</f>
        <v>0.5</v>
      </c>
      <c r="Q6" s="163">
        <f>Paramètres!C11</f>
        <v>0.3</v>
      </c>
      <c r="R6" s="36">
        <f>R308</f>
        <v>173225325.98999992</v>
      </c>
      <c r="S6" s="164">
        <f>Paramètres!C12</f>
        <v>450000</v>
      </c>
      <c r="T6" s="230">
        <f>ROUND(SUM(T8:T307),5)</f>
        <v>450000</v>
      </c>
      <c r="U6" s="13"/>
      <c r="V6" s="13"/>
      <c r="W6" s="13"/>
    </row>
    <row r="7" spans="1:23" s="19" customFormat="1" ht="37.5" customHeight="1" x14ac:dyDescent="0.25">
      <c r="A7" s="520"/>
      <c r="B7" s="551"/>
      <c r="C7" s="496"/>
      <c r="D7" s="553"/>
      <c r="E7" s="29"/>
      <c r="F7" s="244" t="s">
        <v>402</v>
      </c>
      <c r="G7" s="244" t="s">
        <v>59</v>
      </c>
      <c r="H7" s="244" t="s">
        <v>10</v>
      </c>
      <c r="J7" s="244" t="s">
        <v>497</v>
      </c>
      <c r="K7" s="244" t="s">
        <v>558</v>
      </c>
      <c r="L7" s="244" t="s">
        <v>494</v>
      </c>
      <c r="M7" s="32"/>
      <c r="N7" s="245" t="s">
        <v>38</v>
      </c>
      <c r="O7" s="245" t="s">
        <v>39</v>
      </c>
      <c r="P7" s="245" t="s">
        <v>40</v>
      </c>
      <c r="Q7" s="245" t="s">
        <v>41</v>
      </c>
      <c r="R7" s="246" t="s">
        <v>20</v>
      </c>
      <c r="S7" s="247" t="s">
        <v>37</v>
      </c>
      <c r="T7" s="245" t="s">
        <v>10</v>
      </c>
    </row>
    <row r="8" spans="1:23" x14ac:dyDescent="0.25">
      <c r="A8" s="147">
        <f>Données!A8</f>
        <v>5401</v>
      </c>
      <c r="B8" s="159" t="str">
        <f>Données!B8</f>
        <v>Aigle</v>
      </c>
      <c r="C8" s="312">
        <f>Données!C8</f>
        <v>11780</v>
      </c>
      <c r="D8" s="309">
        <f>RFS!W8</f>
        <v>20953356.457807969</v>
      </c>
      <c r="E8" s="336"/>
      <c r="F8" s="337">
        <f t="shared" ref="F8:F71" si="0">D8/C8</f>
        <v>1778.7229590668903</v>
      </c>
      <c r="G8" s="338">
        <f>F8-$F$308</f>
        <v>-1561.6917033559521</v>
      </c>
      <c r="H8" s="339">
        <f t="shared" ref="H8:H71" si="1">G8*$G$6*C8</f>
        <v>-14717382.612426493</v>
      </c>
      <c r="I8" s="313"/>
      <c r="J8" s="340">
        <f>F8-H8/C8</f>
        <v>3028.0763217516524</v>
      </c>
      <c r="K8" s="340">
        <f>IF(J8&lt;$K$6,J8-($K$6),0)</f>
        <v>0</v>
      </c>
      <c r="L8" s="339">
        <f>ROUND(K8*C8,0)</f>
        <v>0</v>
      </c>
      <c r="M8" s="336"/>
      <c r="N8" s="341">
        <f>Données!S8</f>
        <v>967369.9</v>
      </c>
      <c r="O8" s="341">
        <f>Données!T8</f>
        <v>840998.5</v>
      </c>
      <c r="P8" s="341">
        <f>Données!U8</f>
        <v>464932.3</v>
      </c>
      <c r="Q8" s="309">
        <f>Données!V8</f>
        <v>1785549.45</v>
      </c>
      <c r="R8" s="314">
        <f t="shared" ref="R8:R71" si="2">SUMPRODUCT($N$6:$Q$6,N8:Q8)</f>
        <v>1672315.1849999998</v>
      </c>
      <c r="S8" s="315">
        <f t="shared" ref="S8:S71" si="3">-($R$308-$S$6)/$C$308*C8</f>
        <v>-2378376.5334954513</v>
      </c>
      <c r="T8" s="316">
        <f>R8+S8</f>
        <v>-706061.3484954515</v>
      </c>
    </row>
    <row r="9" spans="1:23" x14ac:dyDescent="0.25">
      <c r="A9" s="148">
        <f>Données!A9</f>
        <v>5402</v>
      </c>
      <c r="B9" s="160" t="str">
        <f>Données!B9</f>
        <v>Bex</v>
      </c>
      <c r="C9" s="321">
        <f>Données!C9</f>
        <v>8806</v>
      </c>
      <c r="D9" s="318">
        <f>RFS!W9</f>
        <v>13577775.28954095</v>
      </c>
      <c r="E9" s="336"/>
      <c r="F9" s="342">
        <f t="shared" si="0"/>
        <v>1541.8777299047183</v>
      </c>
      <c r="G9" s="336">
        <f t="shared" ref="G9:G72" si="4">F9-$F$308</f>
        <v>-1798.5369325181241</v>
      </c>
      <c r="H9" s="343">
        <f t="shared" si="1"/>
        <v>-12670332.982203681</v>
      </c>
      <c r="I9" s="313"/>
      <c r="J9" s="344">
        <f t="shared" ref="J9:J72" si="5">F9-H9/C9</f>
        <v>2980.7072759192179</v>
      </c>
      <c r="K9" s="344">
        <f t="shared" ref="K9:K72" si="6">IF(J9&lt;$K$6,J9-($K$6),0)</f>
        <v>-25.66592026133867</v>
      </c>
      <c r="L9" s="343">
        <f t="shared" ref="L9:L72" si="7">ROUND(K9*C9,0)</f>
        <v>-226014</v>
      </c>
      <c r="M9" s="336"/>
      <c r="N9" s="345">
        <f>Données!S9</f>
        <v>1044265.1</v>
      </c>
      <c r="O9" s="345">
        <f>Données!T9</f>
        <v>440537.8</v>
      </c>
      <c r="P9" s="345">
        <f>Données!U9</f>
        <v>573170.30000000005</v>
      </c>
      <c r="Q9" s="318">
        <f>Données!V9</f>
        <v>458534.25</v>
      </c>
      <c r="R9" s="302">
        <f t="shared" si="2"/>
        <v>1166546.875</v>
      </c>
      <c r="S9" s="322">
        <f t="shared" si="3"/>
        <v>-1777927.3135790275</v>
      </c>
      <c r="T9" s="323">
        <f t="shared" ref="T9:T72" si="8">R9+S9</f>
        <v>-611380.43857902754</v>
      </c>
    </row>
    <row r="10" spans="1:23" x14ac:dyDescent="0.25">
      <c r="A10" s="148">
        <f>Données!A10</f>
        <v>5403</v>
      </c>
      <c r="B10" s="160" t="str">
        <f>Données!B10</f>
        <v>Chessel</v>
      </c>
      <c r="C10" s="321">
        <f>Données!C10</f>
        <v>528</v>
      </c>
      <c r="D10" s="318">
        <f>RFS!W10</f>
        <v>818841.62543613743</v>
      </c>
      <c r="E10" s="336"/>
      <c r="F10" s="342">
        <f t="shared" si="0"/>
        <v>1550.8364118108664</v>
      </c>
      <c r="G10" s="336">
        <f t="shared" si="4"/>
        <v>-1789.578250611976</v>
      </c>
      <c r="H10" s="343">
        <f t="shared" si="1"/>
        <v>-755917.8530584987</v>
      </c>
      <c r="I10" s="313"/>
      <c r="J10" s="344">
        <f t="shared" si="5"/>
        <v>2982.4990123004472</v>
      </c>
      <c r="K10" s="344">
        <f t="shared" si="6"/>
        <v>-23.874183880109285</v>
      </c>
      <c r="L10" s="343">
        <f t="shared" si="7"/>
        <v>-12606</v>
      </c>
      <c r="M10" s="336"/>
      <c r="N10" s="345">
        <f>Données!S10</f>
        <v>71632</v>
      </c>
      <c r="O10" s="345">
        <f>Données!T10</f>
        <v>0</v>
      </c>
      <c r="P10" s="345">
        <f>Données!U10</f>
        <v>98233.9</v>
      </c>
      <c r="Q10" s="318">
        <f>Données!V10</f>
        <v>9603.1</v>
      </c>
      <c r="R10" s="302">
        <f t="shared" si="2"/>
        <v>87813.87999999999</v>
      </c>
      <c r="S10" s="322">
        <f t="shared" si="3"/>
        <v>-106602.95498179951</v>
      </c>
      <c r="T10" s="323">
        <f t="shared" si="8"/>
        <v>-18789.074981799524</v>
      </c>
    </row>
    <row r="11" spans="1:23" x14ac:dyDescent="0.25">
      <c r="A11" s="148">
        <f>Données!A11</f>
        <v>5404</v>
      </c>
      <c r="B11" s="160" t="str">
        <f>Données!B11</f>
        <v>Corbeyrier</v>
      </c>
      <c r="C11" s="321">
        <f>Données!C11</f>
        <v>452</v>
      </c>
      <c r="D11" s="318">
        <f>RFS!W11</f>
        <v>825533.30206939077</v>
      </c>
      <c r="E11" s="336"/>
      <c r="F11" s="342">
        <f t="shared" si="0"/>
        <v>1826.4011107729884</v>
      </c>
      <c r="G11" s="336">
        <f t="shared" si="4"/>
        <v>-1514.013551649854</v>
      </c>
      <c r="H11" s="343">
        <f t="shared" si="1"/>
        <v>-547467.30027658725</v>
      </c>
      <c r="I11" s="313"/>
      <c r="J11" s="344">
        <f t="shared" si="5"/>
        <v>3037.6119520928714</v>
      </c>
      <c r="K11" s="344">
        <f t="shared" si="6"/>
        <v>0</v>
      </c>
      <c r="L11" s="343">
        <f t="shared" si="7"/>
        <v>0</v>
      </c>
      <c r="M11" s="336"/>
      <c r="N11" s="345">
        <f>Données!S11</f>
        <v>21071.25</v>
      </c>
      <c r="O11" s="345">
        <f>Données!T11</f>
        <v>10659.8</v>
      </c>
      <c r="P11" s="345">
        <f>Données!U11</f>
        <v>25206</v>
      </c>
      <c r="Q11" s="318">
        <f>Données!V11</f>
        <v>15612.4</v>
      </c>
      <c r="R11" s="302">
        <f t="shared" si="2"/>
        <v>33152.245000000003</v>
      </c>
      <c r="S11" s="322">
        <f t="shared" si="3"/>
        <v>-91258.5902495708</v>
      </c>
      <c r="T11" s="323">
        <f t="shared" si="8"/>
        <v>-58106.345249570797</v>
      </c>
    </row>
    <row r="12" spans="1:23" x14ac:dyDescent="0.25">
      <c r="A12" s="148">
        <f>Données!A12</f>
        <v>5405</v>
      </c>
      <c r="B12" s="160" t="str">
        <f>Données!B12</f>
        <v>Gryon</v>
      </c>
      <c r="C12" s="321">
        <f>Données!C12</f>
        <v>1525</v>
      </c>
      <c r="D12" s="318">
        <f>RFS!W12</f>
        <v>5484829.1846382115</v>
      </c>
      <c r="E12" s="336"/>
      <c r="F12" s="342">
        <f t="shared" si="0"/>
        <v>3596.6093014021058</v>
      </c>
      <c r="G12" s="336">
        <f t="shared" si="4"/>
        <v>256.19463897926335</v>
      </c>
      <c r="H12" s="343">
        <f t="shared" si="1"/>
        <v>312557.45955470135</v>
      </c>
      <c r="I12" s="313"/>
      <c r="J12" s="344">
        <f t="shared" si="5"/>
        <v>3391.6535902186952</v>
      </c>
      <c r="K12" s="344">
        <f t="shared" si="6"/>
        <v>0</v>
      </c>
      <c r="L12" s="343">
        <f t="shared" si="7"/>
        <v>0</v>
      </c>
      <c r="M12" s="336"/>
      <c r="N12" s="345">
        <f>Données!S12</f>
        <v>480860.2</v>
      </c>
      <c r="O12" s="345">
        <f>Données!T12</f>
        <v>89720.1</v>
      </c>
      <c r="P12" s="345">
        <f>Données!U12</f>
        <v>482318</v>
      </c>
      <c r="Q12" s="318">
        <f>Données!V12</f>
        <v>3983.1</v>
      </c>
      <c r="R12" s="302">
        <f t="shared" si="2"/>
        <v>527644.08000000007</v>
      </c>
      <c r="S12" s="322">
        <f t="shared" si="3"/>
        <v>-307896.79232432623</v>
      </c>
      <c r="T12" s="323">
        <f t="shared" si="8"/>
        <v>219747.28767567384</v>
      </c>
    </row>
    <row r="13" spans="1:23" x14ac:dyDescent="0.25">
      <c r="A13" s="148">
        <f>Données!A13</f>
        <v>5406</v>
      </c>
      <c r="B13" s="160" t="str">
        <f>Données!B13</f>
        <v>Lavey-Morcles</v>
      </c>
      <c r="C13" s="321">
        <f>Données!C13</f>
        <v>1014</v>
      </c>
      <c r="D13" s="318">
        <f>RFS!W13</f>
        <v>1614669.3993514797</v>
      </c>
      <c r="E13" s="336"/>
      <c r="F13" s="342">
        <f t="shared" si="0"/>
        <v>1592.3761334827216</v>
      </c>
      <c r="G13" s="336">
        <f t="shared" si="4"/>
        <v>-1748.0385289401208</v>
      </c>
      <c r="H13" s="343">
        <f t="shared" si="1"/>
        <v>-1418008.8546762262</v>
      </c>
      <c r="I13" s="313"/>
      <c r="J13" s="344">
        <f t="shared" si="5"/>
        <v>2990.8069566348186</v>
      </c>
      <c r="K13" s="344">
        <f t="shared" si="6"/>
        <v>-15.566239545737972</v>
      </c>
      <c r="L13" s="343">
        <f t="shared" si="7"/>
        <v>-15784</v>
      </c>
      <c r="M13" s="336"/>
      <c r="N13" s="345">
        <f>Données!S13</f>
        <v>36217.5</v>
      </c>
      <c r="O13" s="345">
        <f>Données!T13</f>
        <v>138625</v>
      </c>
      <c r="P13" s="345">
        <f>Données!U13</f>
        <v>7574.2</v>
      </c>
      <c r="Q13" s="318">
        <f>Données!V13</f>
        <v>13009.3</v>
      </c>
      <c r="R13" s="302">
        <f t="shared" si="2"/>
        <v>95111.14</v>
      </c>
      <c r="S13" s="322">
        <f t="shared" si="3"/>
        <v>-204726.12945368316</v>
      </c>
      <c r="T13" s="323">
        <f t="shared" si="8"/>
        <v>-109614.98945368316</v>
      </c>
    </row>
    <row r="14" spans="1:23" x14ac:dyDescent="0.25">
      <c r="A14" s="148">
        <f>Données!A14</f>
        <v>5407</v>
      </c>
      <c r="B14" s="160" t="str">
        <f>Données!B14</f>
        <v>Leysin</v>
      </c>
      <c r="C14" s="321">
        <f>Données!C14</f>
        <v>3685</v>
      </c>
      <c r="D14" s="318">
        <f>RFS!W14</f>
        <v>6559295.0968460087</v>
      </c>
      <c r="E14" s="336"/>
      <c r="F14" s="342">
        <f t="shared" si="0"/>
        <v>1779.998669429039</v>
      </c>
      <c r="G14" s="336">
        <f t="shared" si="4"/>
        <v>-1560.4159929938035</v>
      </c>
      <c r="H14" s="343">
        <f t="shared" si="1"/>
        <v>-4600106.3473457331</v>
      </c>
      <c r="I14" s="313"/>
      <c r="J14" s="344">
        <f t="shared" si="5"/>
        <v>3028.3314638240818</v>
      </c>
      <c r="K14" s="344">
        <f t="shared" si="6"/>
        <v>0</v>
      </c>
      <c r="L14" s="343">
        <f t="shared" si="7"/>
        <v>0</v>
      </c>
      <c r="M14" s="336"/>
      <c r="N14" s="345">
        <f>Données!S14</f>
        <v>545165.85</v>
      </c>
      <c r="O14" s="345">
        <f>Données!T14</f>
        <v>8004.9</v>
      </c>
      <c r="P14" s="345">
        <f>Données!U14</f>
        <v>360795.5</v>
      </c>
      <c r="Q14" s="318">
        <f>Données!V14</f>
        <v>134794.54999999999</v>
      </c>
      <c r="R14" s="302">
        <f t="shared" si="2"/>
        <v>497421.49</v>
      </c>
      <c r="S14" s="322">
        <f t="shared" si="3"/>
        <v>-743999.78997714247</v>
      </c>
      <c r="T14" s="323">
        <f t="shared" si="8"/>
        <v>-246578.29997714248</v>
      </c>
    </row>
    <row r="15" spans="1:23" x14ac:dyDescent="0.25">
      <c r="A15" s="148">
        <f>Données!A15</f>
        <v>5408</v>
      </c>
      <c r="B15" s="160" t="str">
        <f>Données!B15</f>
        <v>Noville</v>
      </c>
      <c r="C15" s="321">
        <f>Données!C15</f>
        <v>1208</v>
      </c>
      <c r="D15" s="318">
        <f>RFS!W15</f>
        <v>2862477.2984865955</v>
      </c>
      <c r="E15" s="336"/>
      <c r="F15" s="342">
        <f t="shared" si="0"/>
        <v>2369.6004126544663</v>
      </c>
      <c r="G15" s="336">
        <f t="shared" si="4"/>
        <v>-970.81424976837616</v>
      </c>
      <c r="H15" s="343">
        <f t="shared" si="1"/>
        <v>-938194.89097615879</v>
      </c>
      <c r="I15" s="313"/>
      <c r="J15" s="344">
        <f t="shared" si="5"/>
        <v>3146.2518124691674</v>
      </c>
      <c r="K15" s="344">
        <f t="shared" si="6"/>
        <v>0</v>
      </c>
      <c r="L15" s="343">
        <f t="shared" si="7"/>
        <v>0</v>
      </c>
      <c r="M15" s="336"/>
      <c r="N15" s="345">
        <f>Données!S15</f>
        <v>115042.6</v>
      </c>
      <c r="O15" s="345">
        <f>Données!T15</f>
        <v>7543.6</v>
      </c>
      <c r="P15" s="345">
        <f>Données!U15</f>
        <v>52371.45</v>
      </c>
      <c r="Q15" s="318">
        <f>Données!V15</f>
        <v>256359.85</v>
      </c>
      <c r="R15" s="302">
        <f t="shared" si="2"/>
        <v>164386.78000000003</v>
      </c>
      <c r="S15" s="322">
        <f t="shared" si="3"/>
        <v>-243894.63942805646</v>
      </c>
      <c r="T15" s="323">
        <f t="shared" si="8"/>
        <v>-79507.859428056428</v>
      </c>
    </row>
    <row r="16" spans="1:23" x14ac:dyDescent="0.25">
      <c r="A16" s="148">
        <f>Données!A16</f>
        <v>5409</v>
      </c>
      <c r="B16" s="160" t="str">
        <f>Données!B16</f>
        <v>Ollon</v>
      </c>
      <c r="C16" s="321">
        <f>Données!C16</f>
        <v>8222</v>
      </c>
      <c r="D16" s="318">
        <f>RFS!W16</f>
        <v>28979388.415223904</v>
      </c>
      <c r="E16" s="336"/>
      <c r="F16" s="342">
        <f t="shared" si="0"/>
        <v>3524.6154725400029</v>
      </c>
      <c r="G16" s="336">
        <f t="shared" si="4"/>
        <v>184.20081011716047</v>
      </c>
      <c r="H16" s="343">
        <f t="shared" si="1"/>
        <v>1211599.2486266347</v>
      </c>
      <c r="I16" s="313"/>
      <c r="J16" s="344">
        <f t="shared" si="5"/>
        <v>3377.2548244462746</v>
      </c>
      <c r="K16" s="344">
        <f t="shared" si="6"/>
        <v>0</v>
      </c>
      <c r="L16" s="343">
        <f t="shared" si="7"/>
        <v>0</v>
      </c>
      <c r="M16" s="336"/>
      <c r="N16" s="345">
        <f>Données!S16</f>
        <v>2284060</v>
      </c>
      <c r="O16" s="345">
        <f>Données!T16</f>
        <v>766158.5</v>
      </c>
      <c r="P16" s="345">
        <f>Données!U16</f>
        <v>1816352.8</v>
      </c>
      <c r="Q16" s="318">
        <f>Données!V16</f>
        <v>123954.6</v>
      </c>
      <c r="R16" s="302">
        <f t="shared" si="2"/>
        <v>2470472.0299999998</v>
      </c>
      <c r="S16" s="322">
        <f t="shared" si="3"/>
        <v>-1660017.9845840067</v>
      </c>
      <c r="T16" s="323">
        <f t="shared" si="8"/>
        <v>810454.04541599308</v>
      </c>
    </row>
    <row r="17" spans="1:20" x14ac:dyDescent="0.25">
      <c r="A17" s="148">
        <f>Données!A17</f>
        <v>5410</v>
      </c>
      <c r="B17" s="160" t="str">
        <f>Données!B17</f>
        <v>Ormont-Dessous</v>
      </c>
      <c r="C17" s="321">
        <f>Données!C17</f>
        <v>1244</v>
      </c>
      <c r="D17" s="318">
        <f>RFS!W17</f>
        <v>2724906.3336248798</v>
      </c>
      <c r="E17" s="336"/>
      <c r="F17" s="342">
        <f t="shared" si="0"/>
        <v>2190.4391749396141</v>
      </c>
      <c r="G17" s="336">
        <f t="shared" si="4"/>
        <v>-1149.9754874832283</v>
      </c>
      <c r="H17" s="343">
        <f t="shared" si="1"/>
        <v>-1144455.6051433089</v>
      </c>
      <c r="I17" s="313"/>
      <c r="J17" s="344">
        <f t="shared" si="5"/>
        <v>3110.4195649261969</v>
      </c>
      <c r="K17" s="344">
        <f t="shared" si="6"/>
        <v>0</v>
      </c>
      <c r="L17" s="343">
        <f t="shared" si="7"/>
        <v>0</v>
      </c>
      <c r="M17" s="336"/>
      <c r="N17" s="345">
        <f>Données!S17</f>
        <v>191094.6</v>
      </c>
      <c r="O17" s="345">
        <f>Données!T17</f>
        <v>86264.5</v>
      </c>
      <c r="P17" s="345">
        <f>Données!U17</f>
        <v>188240.35</v>
      </c>
      <c r="Q17" s="318">
        <f>Données!V17</f>
        <v>22144.5</v>
      </c>
      <c r="R17" s="302">
        <f t="shared" si="2"/>
        <v>239443.07499999998</v>
      </c>
      <c r="S17" s="322">
        <f t="shared" si="3"/>
        <v>-251163.02272227008</v>
      </c>
      <c r="T17" s="323">
        <f t="shared" si="8"/>
        <v>-11719.947722270095</v>
      </c>
    </row>
    <row r="18" spans="1:20" x14ac:dyDescent="0.25">
      <c r="A18" s="148">
        <f>Données!A18</f>
        <v>5411</v>
      </c>
      <c r="B18" s="160" t="str">
        <f>Données!B18</f>
        <v>Ormont-Dessus</v>
      </c>
      <c r="C18" s="321">
        <f>Données!C18</f>
        <v>1435</v>
      </c>
      <c r="D18" s="318">
        <f>RFS!W18</f>
        <v>5707544.6268488634</v>
      </c>
      <c r="E18" s="336"/>
      <c r="F18" s="342">
        <f t="shared" si="0"/>
        <v>3977.3830152256887</v>
      </c>
      <c r="G18" s="336">
        <f t="shared" si="4"/>
        <v>636.96835280284631</v>
      </c>
      <c r="H18" s="343">
        <f t="shared" si="1"/>
        <v>731239.66901766753</v>
      </c>
      <c r="I18" s="313"/>
      <c r="J18" s="344">
        <f t="shared" si="5"/>
        <v>3467.8083329834117</v>
      </c>
      <c r="K18" s="344">
        <f t="shared" si="6"/>
        <v>0</v>
      </c>
      <c r="L18" s="343">
        <f t="shared" si="7"/>
        <v>0</v>
      </c>
      <c r="M18" s="336"/>
      <c r="N18" s="345">
        <f>Données!S18</f>
        <v>412198.40000000002</v>
      </c>
      <c r="O18" s="345">
        <f>Données!T18</f>
        <v>157714.20000000001</v>
      </c>
      <c r="P18" s="345">
        <f>Données!U18</f>
        <v>424402.3</v>
      </c>
      <c r="Q18" s="318">
        <f>Données!V18</f>
        <v>10064.65</v>
      </c>
      <c r="R18" s="302">
        <f t="shared" si="2"/>
        <v>500176.84500000009</v>
      </c>
      <c r="S18" s="322">
        <f t="shared" si="3"/>
        <v>-289725.83408879227</v>
      </c>
      <c r="T18" s="323">
        <f t="shared" si="8"/>
        <v>210451.01091120782</v>
      </c>
    </row>
    <row r="19" spans="1:20" x14ac:dyDescent="0.25">
      <c r="A19" s="148">
        <f>Données!A19</f>
        <v>5412</v>
      </c>
      <c r="B19" s="160" t="str">
        <f>Données!B19</f>
        <v>Rennaz</v>
      </c>
      <c r="C19" s="321">
        <f>Données!C19</f>
        <v>949</v>
      </c>
      <c r="D19" s="318">
        <f>RFS!W19</f>
        <v>2100081.2223288026</v>
      </c>
      <c r="E19" s="336"/>
      <c r="F19" s="342">
        <f t="shared" si="0"/>
        <v>2212.9412247932587</v>
      </c>
      <c r="G19" s="336">
        <f t="shared" si="4"/>
        <v>-1127.4734376295837</v>
      </c>
      <c r="H19" s="343">
        <f t="shared" si="1"/>
        <v>-855977.83384838002</v>
      </c>
      <c r="I19" s="313"/>
      <c r="J19" s="344">
        <f t="shared" si="5"/>
        <v>3114.9199748969259</v>
      </c>
      <c r="K19" s="344">
        <f t="shared" si="6"/>
        <v>0</v>
      </c>
      <c r="L19" s="343">
        <f t="shared" si="7"/>
        <v>0</v>
      </c>
      <c r="M19" s="336"/>
      <c r="N19" s="345">
        <f>Données!S19</f>
        <v>213499</v>
      </c>
      <c r="O19" s="345">
        <f>Données!T19</f>
        <v>6065.2</v>
      </c>
      <c r="P19" s="345">
        <f>Données!U19</f>
        <v>94919.8</v>
      </c>
      <c r="Q19" s="318">
        <f>Données!V19</f>
        <v>1405262.2</v>
      </c>
      <c r="R19" s="302">
        <f t="shared" si="2"/>
        <v>578820.65999999992</v>
      </c>
      <c r="S19" s="322">
        <f t="shared" si="3"/>
        <v>-191602.65961690858</v>
      </c>
      <c r="T19" s="323">
        <f t="shared" si="8"/>
        <v>387218.00038309133</v>
      </c>
    </row>
    <row r="20" spans="1:20" x14ac:dyDescent="0.25">
      <c r="A20" s="148">
        <f>Données!A20</f>
        <v>5413</v>
      </c>
      <c r="B20" s="160" t="str">
        <f>Données!B20</f>
        <v>Roche</v>
      </c>
      <c r="C20" s="321">
        <f>Données!C20</f>
        <v>1996</v>
      </c>
      <c r="D20" s="318">
        <f>RFS!W20</f>
        <v>2806390.81393521</v>
      </c>
      <c r="E20" s="336"/>
      <c r="F20" s="342">
        <f t="shared" si="0"/>
        <v>1406.0074218112275</v>
      </c>
      <c r="G20" s="336">
        <f t="shared" si="4"/>
        <v>-1934.407240611615</v>
      </c>
      <c r="H20" s="343">
        <f t="shared" si="1"/>
        <v>-3088861.481808627</v>
      </c>
      <c r="I20" s="313"/>
      <c r="J20" s="344">
        <f t="shared" si="5"/>
        <v>2953.5332143005198</v>
      </c>
      <c r="K20" s="344">
        <f t="shared" si="6"/>
        <v>-52.839981880036703</v>
      </c>
      <c r="L20" s="343">
        <f t="shared" si="7"/>
        <v>-105469</v>
      </c>
      <c r="M20" s="336"/>
      <c r="N20" s="345">
        <f>Données!S20</f>
        <v>229331.25</v>
      </c>
      <c r="O20" s="345">
        <f>Données!T20</f>
        <v>26970.7</v>
      </c>
      <c r="P20" s="345">
        <f>Données!U20</f>
        <v>407845.9</v>
      </c>
      <c r="Q20" s="318">
        <f>Données!V20</f>
        <v>430564.5</v>
      </c>
      <c r="R20" s="302">
        <f t="shared" si="2"/>
        <v>461243.27500000002</v>
      </c>
      <c r="S20" s="322">
        <f t="shared" si="3"/>
        <v>-402991.47375695425</v>
      </c>
      <c r="T20" s="323">
        <f t="shared" si="8"/>
        <v>58251.801243045775</v>
      </c>
    </row>
    <row r="21" spans="1:20" x14ac:dyDescent="0.25">
      <c r="A21" s="148">
        <f>Données!A21</f>
        <v>5414</v>
      </c>
      <c r="B21" s="160" t="str">
        <f>Données!B21</f>
        <v>Villeneuve</v>
      </c>
      <c r="C21" s="321">
        <f>Données!C21</f>
        <v>6039</v>
      </c>
      <c r="D21" s="318">
        <f>RFS!W21</f>
        <v>11833206.974307513</v>
      </c>
      <c r="E21" s="336"/>
      <c r="F21" s="342">
        <f t="shared" si="0"/>
        <v>1959.4646422102192</v>
      </c>
      <c r="G21" s="336">
        <f t="shared" si="4"/>
        <v>-1380.9500202126233</v>
      </c>
      <c r="H21" s="343">
        <f t="shared" si="1"/>
        <v>-6671645.7376512261</v>
      </c>
      <c r="I21" s="313"/>
      <c r="J21" s="344">
        <f t="shared" si="5"/>
        <v>3064.224658380318</v>
      </c>
      <c r="K21" s="344">
        <f t="shared" si="6"/>
        <v>0</v>
      </c>
      <c r="L21" s="343">
        <f t="shared" si="7"/>
        <v>0</v>
      </c>
      <c r="M21" s="336"/>
      <c r="N21" s="345">
        <f>Données!S21</f>
        <v>749547.2</v>
      </c>
      <c r="O21" s="345">
        <f>Données!T21</f>
        <v>174479.9</v>
      </c>
      <c r="P21" s="345">
        <f>Données!U21</f>
        <v>385691.05</v>
      </c>
      <c r="Q21" s="318">
        <f>Données!V21</f>
        <v>1288832.95</v>
      </c>
      <c r="R21" s="302">
        <f t="shared" si="2"/>
        <v>1041508.96</v>
      </c>
      <c r="S21" s="322">
        <f t="shared" si="3"/>
        <v>-1219271.297604332</v>
      </c>
      <c r="T21" s="323">
        <f t="shared" si="8"/>
        <v>-177762.33760433202</v>
      </c>
    </row>
    <row r="22" spans="1:20" x14ac:dyDescent="0.25">
      <c r="A22" s="148">
        <f>Données!A22</f>
        <v>5415</v>
      </c>
      <c r="B22" s="160" t="str">
        <f>Données!B22</f>
        <v>Yvorne</v>
      </c>
      <c r="C22" s="321">
        <f>Données!C22</f>
        <v>1110</v>
      </c>
      <c r="D22" s="318">
        <f>RFS!W22</f>
        <v>2506864.3255663756</v>
      </c>
      <c r="E22" s="336"/>
      <c r="F22" s="342">
        <f t="shared" si="0"/>
        <v>2258.436329339077</v>
      </c>
      <c r="G22" s="336">
        <f t="shared" si="4"/>
        <v>-1081.9783330837654</v>
      </c>
      <c r="H22" s="343">
        <f t="shared" si="1"/>
        <v>-960796.75977838377</v>
      </c>
      <c r="I22" s="313"/>
      <c r="J22" s="344">
        <f t="shared" si="5"/>
        <v>3124.0189958060892</v>
      </c>
      <c r="K22" s="344">
        <f t="shared" si="6"/>
        <v>0</v>
      </c>
      <c r="L22" s="343">
        <f t="shared" si="7"/>
        <v>0</v>
      </c>
      <c r="M22" s="336"/>
      <c r="N22" s="345">
        <f>Données!S22</f>
        <v>55399.1</v>
      </c>
      <c r="O22" s="345">
        <f>Données!T22</f>
        <v>9274.9</v>
      </c>
      <c r="P22" s="345">
        <f>Données!U22</f>
        <v>64721.7</v>
      </c>
      <c r="Q22" s="318">
        <f>Données!V22</f>
        <v>52264.4</v>
      </c>
      <c r="R22" s="302">
        <f t="shared" si="2"/>
        <v>80377.17</v>
      </c>
      <c r="S22" s="322">
        <f t="shared" si="3"/>
        <v>-224108.48490491943</v>
      </c>
      <c r="T22" s="323">
        <f t="shared" si="8"/>
        <v>-143731.31490491942</v>
      </c>
    </row>
    <row r="23" spans="1:20" x14ac:dyDescent="0.25">
      <c r="A23" s="148">
        <f>Données!A23</f>
        <v>5422</v>
      </c>
      <c r="B23" s="160" t="str">
        <f>Données!B23</f>
        <v>Aubonne</v>
      </c>
      <c r="C23" s="321">
        <f>Données!C23</f>
        <v>3862</v>
      </c>
      <c r="D23" s="318">
        <f>RFS!W23</f>
        <v>19392753.670892216</v>
      </c>
      <c r="E23" s="336"/>
      <c r="F23" s="342">
        <f t="shared" si="0"/>
        <v>5021.4276724215988</v>
      </c>
      <c r="G23" s="336">
        <f t="shared" si="4"/>
        <v>1681.0130099987564</v>
      </c>
      <c r="H23" s="343">
        <f t="shared" si="1"/>
        <v>5193657.7956921589</v>
      </c>
      <c r="I23" s="313"/>
      <c r="J23" s="344">
        <f t="shared" si="5"/>
        <v>3676.6172644225935</v>
      </c>
      <c r="K23" s="344">
        <f t="shared" si="6"/>
        <v>0</v>
      </c>
      <c r="L23" s="343">
        <f t="shared" si="7"/>
        <v>0</v>
      </c>
      <c r="M23" s="336"/>
      <c r="N23" s="345">
        <f>Données!S23</f>
        <v>421318.35</v>
      </c>
      <c r="O23" s="345">
        <f>Données!T23</f>
        <v>319074.5</v>
      </c>
      <c r="P23" s="345">
        <f>Données!U23</f>
        <v>226371.95</v>
      </c>
      <c r="Q23" s="318">
        <f>Données!V23</f>
        <v>886986.7</v>
      </c>
      <c r="R23" s="302">
        <f t="shared" si="2"/>
        <v>749478.40999999992</v>
      </c>
      <c r="S23" s="322">
        <f t="shared" si="3"/>
        <v>-779736.00784035935</v>
      </c>
      <c r="T23" s="323">
        <f t="shared" si="8"/>
        <v>-30257.597840359434</v>
      </c>
    </row>
    <row r="24" spans="1:20" x14ac:dyDescent="0.25">
      <c r="A24" s="148">
        <f>Données!A24</f>
        <v>5423</v>
      </c>
      <c r="B24" s="160" t="str">
        <f>Données!B24</f>
        <v>Ballens</v>
      </c>
      <c r="C24" s="321">
        <f>Données!C24</f>
        <v>579</v>
      </c>
      <c r="D24" s="318">
        <f>RFS!W24</f>
        <v>1125524.9915298927</v>
      </c>
      <c r="E24" s="336"/>
      <c r="F24" s="342">
        <f t="shared" si="0"/>
        <v>1943.9119024695901</v>
      </c>
      <c r="G24" s="336">
        <f t="shared" si="4"/>
        <v>-1396.5027599532523</v>
      </c>
      <c r="H24" s="343">
        <f t="shared" si="1"/>
        <v>-646860.07841034653</v>
      </c>
      <c r="I24" s="313"/>
      <c r="J24" s="344">
        <f t="shared" si="5"/>
        <v>3061.1141104321923</v>
      </c>
      <c r="K24" s="344">
        <f t="shared" si="6"/>
        <v>0</v>
      </c>
      <c r="L24" s="343">
        <f t="shared" si="7"/>
        <v>0</v>
      </c>
      <c r="M24" s="336"/>
      <c r="N24" s="345">
        <f>Données!S24</f>
        <v>52125.3</v>
      </c>
      <c r="O24" s="345">
        <f>Données!T24</f>
        <v>7.4</v>
      </c>
      <c r="P24" s="345">
        <f>Données!U24</f>
        <v>3043.5</v>
      </c>
      <c r="Q24" s="318">
        <f>Données!V24</f>
        <v>22588.9</v>
      </c>
      <c r="R24" s="302">
        <f t="shared" si="2"/>
        <v>34364.770000000004</v>
      </c>
      <c r="S24" s="322">
        <f t="shared" si="3"/>
        <v>-116899.83131526879</v>
      </c>
      <c r="T24" s="323">
        <f t="shared" si="8"/>
        <v>-82535.061315268787</v>
      </c>
    </row>
    <row r="25" spans="1:20" x14ac:dyDescent="0.25">
      <c r="A25" s="148">
        <f>Données!A25</f>
        <v>5424</v>
      </c>
      <c r="B25" s="160" t="str">
        <f>Données!B25</f>
        <v>Berolle</v>
      </c>
      <c r="C25" s="321">
        <f>Données!C25</f>
        <v>303</v>
      </c>
      <c r="D25" s="318">
        <f>RFS!W25</f>
        <v>663322.39741920051</v>
      </c>
      <c r="E25" s="336"/>
      <c r="F25" s="342">
        <f t="shared" si="0"/>
        <v>2189.1828297663383</v>
      </c>
      <c r="G25" s="336">
        <f t="shared" si="4"/>
        <v>-1151.2318326565041</v>
      </c>
      <c r="H25" s="343">
        <f t="shared" si="1"/>
        <v>-279058.59623593662</v>
      </c>
      <c r="I25" s="313"/>
      <c r="J25" s="344">
        <f t="shared" si="5"/>
        <v>3110.1682958915417</v>
      </c>
      <c r="K25" s="344">
        <f t="shared" si="6"/>
        <v>0</v>
      </c>
      <c r="L25" s="343">
        <f t="shared" si="7"/>
        <v>0</v>
      </c>
      <c r="M25" s="336"/>
      <c r="N25" s="345">
        <f>Données!S25</f>
        <v>41085</v>
      </c>
      <c r="O25" s="345">
        <f>Données!T25</f>
        <v>0</v>
      </c>
      <c r="P25" s="345">
        <f>Données!U25</f>
        <v>22123</v>
      </c>
      <c r="Q25" s="318">
        <f>Données!V25</f>
        <v>0</v>
      </c>
      <c r="R25" s="302">
        <f t="shared" si="2"/>
        <v>31604</v>
      </c>
      <c r="S25" s="322">
        <f t="shared" si="3"/>
        <v>-61175.559392964497</v>
      </c>
      <c r="T25" s="323">
        <f t="shared" si="8"/>
        <v>-29571.559392964497</v>
      </c>
    </row>
    <row r="26" spans="1:20" x14ac:dyDescent="0.25">
      <c r="A26" s="148">
        <f>Données!A26</f>
        <v>5425</v>
      </c>
      <c r="B26" s="160" t="str">
        <f>Données!B26</f>
        <v>Bière</v>
      </c>
      <c r="C26" s="321">
        <f>Données!C26</f>
        <v>1680</v>
      </c>
      <c r="D26" s="318">
        <f>RFS!W26</f>
        <v>3036340.9691145299</v>
      </c>
      <c r="E26" s="336"/>
      <c r="F26" s="342">
        <f t="shared" si="0"/>
        <v>1807.345814949125</v>
      </c>
      <c r="G26" s="336">
        <f t="shared" si="4"/>
        <v>-1533.0688474737174</v>
      </c>
      <c r="H26" s="343">
        <f t="shared" si="1"/>
        <v>-2060444.5310046764</v>
      </c>
      <c r="I26" s="313"/>
      <c r="J26" s="344">
        <f t="shared" si="5"/>
        <v>3033.8008929280991</v>
      </c>
      <c r="K26" s="344">
        <f t="shared" si="6"/>
        <v>0</v>
      </c>
      <c r="L26" s="343">
        <f t="shared" si="7"/>
        <v>0</v>
      </c>
      <c r="M26" s="336"/>
      <c r="N26" s="345">
        <f>Données!S26</f>
        <v>84247.7</v>
      </c>
      <c r="O26" s="345">
        <f>Données!T26</f>
        <v>44470.2</v>
      </c>
      <c r="P26" s="345">
        <f>Données!U26</f>
        <v>123095</v>
      </c>
      <c r="Q26" s="318">
        <f>Données!V26</f>
        <v>98968.25</v>
      </c>
      <c r="R26" s="302">
        <f t="shared" si="2"/>
        <v>155596.92499999999</v>
      </c>
      <c r="S26" s="322">
        <f t="shared" si="3"/>
        <v>-339191.22039663483</v>
      </c>
      <c r="T26" s="323">
        <f t="shared" si="8"/>
        <v>-183594.29539663484</v>
      </c>
    </row>
    <row r="27" spans="1:20" x14ac:dyDescent="0.25">
      <c r="A27" s="148">
        <f>Données!A27</f>
        <v>5426</v>
      </c>
      <c r="B27" s="160" t="str">
        <f>Données!B27</f>
        <v>Bougy-Villars</v>
      </c>
      <c r="C27" s="321">
        <f>Données!C27</f>
        <v>511</v>
      </c>
      <c r="D27" s="318">
        <f>RFS!W27</f>
        <v>4622007.9288821453</v>
      </c>
      <c r="E27" s="336"/>
      <c r="F27" s="342">
        <f t="shared" si="0"/>
        <v>9045.0253011392269</v>
      </c>
      <c r="G27" s="336">
        <f t="shared" si="4"/>
        <v>5704.6106387163845</v>
      </c>
      <c r="H27" s="343">
        <f t="shared" si="1"/>
        <v>2332044.829107258</v>
      </c>
      <c r="I27" s="313"/>
      <c r="J27" s="344">
        <f t="shared" si="5"/>
        <v>4481.3367901661195</v>
      </c>
      <c r="K27" s="344">
        <f t="shared" si="6"/>
        <v>0</v>
      </c>
      <c r="L27" s="343">
        <f t="shared" si="7"/>
        <v>0</v>
      </c>
      <c r="M27" s="336"/>
      <c r="N27" s="345">
        <f>Données!S27</f>
        <v>32890</v>
      </c>
      <c r="O27" s="345">
        <f>Données!T27</f>
        <v>991276.8</v>
      </c>
      <c r="P27" s="345">
        <f>Données!U27</f>
        <v>101702.3</v>
      </c>
      <c r="Q27" s="318">
        <f>Données!V27</f>
        <v>7161</v>
      </c>
      <c r="R27" s="302">
        <f t="shared" si="2"/>
        <v>565082.85000000009</v>
      </c>
      <c r="S27" s="322">
        <f t="shared" si="3"/>
        <v>-103170.66287064309</v>
      </c>
      <c r="T27" s="323">
        <f t="shared" si="8"/>
        <v>461912.18712935701</v>
      </c>
    </row>
    <row r="28" spans="1:20" x14ac:dyDescent="0.25">
      <c r="A28" s="148">
        <f>Données!A28</f>
        <v>5427</v>
      </c>
      <c r="B28" s="160" t="str">
        <f>Données!B28</f>
        <v>Féchy</v>
      </c>
      <c r="C28" s="321">
        <f>Données!C28</f>
        <v>919</v>
      </c>
      <c r="D28" s="318">
        <f>RFS!W28</f>
        <v>6234480.3242775183</v>
      </c>
      <c r="E28" s="336"/>
      <c r="F28" s="342">
        <f t="shared" si="0"/>
        <v>6783.9829426305969</v>
      </c>
      <c r="G28" s="336">
        <f t="shared" si="4"/>
        <v>3443.5682802077545</v>
      </c>
      <c r="H28" s="343">
        <f t="shared" si="1"/>
        <v>2531711.3996087415</v>
      </c>
      <c r="I28" s="313"/>
      <c r="J28" s="344">
        <f t="shared" si="5"/>
        <v>4029.128318464393</v>
      </c>
      <c r="K28" s="344">
        <f t="shared" si="6"/>
        <v>0</v>
      </c>
      <c r="L28" s="343">
        <f t="shared" si="7"/>
        <v>0</v>
      </c>
      <c r="M28" s="336"/>
      <c r="N28" s="345">
        <f>Données!S28</f>
        <v>281228.2</v>
      </c>
      <c r="O28" s="345">
        <f>Données!T28</f>
        <v>71250.7</v>
      </c>
      <c r="P28" s="345">
        <f>Données!U28</f>
        <v>290362.2</v>
      </c>
      <c r="Q28" s="318">
        <f>Données!V28</f>
        <v>16404.099999999999</v>
      </c>
      <c r="R28" s="302">
        <f t="shared" si="2"/>
        <v>326341.78000000003</v>
      </c>
      <c r="S28" s="322">
        <f t="shared" si="3"/>
        <v>-185545.67353839727</v>
      </c>
      <c r="T28" s="323">
        <f t="shared" si="8"/>
        <v>140796.10646160276</v>
      </c>
    </row>
    <row r="29" spans="1:20" x14ac:dyDescent="0.25">
      <c r="A29" s="148">
        <f>Données!A29</f>
        <v>5428</v>
      </c>
      <c r="B29" s="160" t="str">
        <f>Données!B29</f>
        <v>Gimel</v>
      </c>
      <c r="C29" s="321">
        <f>Données!C29</f>
        <v>2458</v>
      </c>
      <c r="D29" s="318">
        <f>RFS!W29</f>
        <v>5119411.6489720289</v>
      </c>
      <c r="E29" s="336"/>
      <c r="F29" s="342">
        <f t="shared" si="0"/>
        <v>2082.7549426249102</v>
      </c>
      <c r="G29" s="336">
        <f t="shared" si="4"/>
        <v>-1257.6597197979322</v>
      </c>
      <c r="H29" s="343">
        <f t="shared" si="1"/>
        <v>-2473062.0730106537</v>
      </c>
      <c r="I29" s="313"/>
      <c r="J29" s="344">
        <f t="shared" si="5"/>
        <v>3088.882718463256</v>
      </c>
      <c r="K29" s="344">
        <f t="shared" si="6"/>
        <v>0</v>
      </c>
      <c r="L29" s="343">
        <f t="shared" si="7"/>
        <v>0</v>
      </c>
      <c r="M29" s="336"/>
      <c r="N29" s="345">
        <f>Données!S29</f>
        <v>149743.65</v>
      </c>
      <c r="O29" s="345">
        <f>Données!T29</f>
        <v>51201.9</v>
      </c>
      <c r="P29" s="345">
        <f>Données!U29</f>
        <v>158504.85</v>
      </c>
      <c r="Q29" s="318">
        <f>Données!V29</f>
        <v>202723.35</v>
      </c>
      <c r="R29" s="302">
        <f t="shared" si="2"/>
        <v>240542.20500000002</v>
      </c>
      <c r="S29" s="322">
        <f t="shared" si="3"/>
        <v>-496269.05936602881</v>
      </c>
      <c r="T29" s="323">
        <f t="shared" si="8"/>
        <v>-255726.8543660288</v>
      </c>
    </row>
    <row r="30" spans="1:20" x14ac:dyDescent="0.25">
      <c r="A30" s="148">
        <f>Données!A30</f>
        <v>5429</v>
      </c>
      <c r="B30" s="160" t="str">
        <f>Données!B30</f>
        <v>Longirod</v>
      </c>
      <c r="C30" s="321">
        <f>Données!C30</f>
        <v>555</v>
      </c>
      <c r="D30" s="318">
        <f>RFS!W30</f>
        <v>1228973.3409880812</v>
      </c>
      <c r="E30" s="336"/>
      <c r="F30" s="342">
        <f t="shared" si="0"/>
        <v>2214.3663801587049</v>
      </c>
      <c r="G30" s="336">
        <f t="shared" si="4"/>
        <v>-1126.0482822641375</v>
      </c>
      <c r="H30" s="343">
        <f t="shared" si="1"/>
        <v>-499965.43732527707</v>
      </c>
      <c r="I30" s="313"/>
      <c r="J30" s="344">
        <f t="shared" si="5"/>
        <v>3115.205005970015</v>
      </c>
      <c r="K30" s="344">
        <f t="shared" si="6"/>
        <v>0</v>
      </c>
      <c r="L30" s="343">
        <f t="shared" si="7"/>
        <v>0</v>
      </c>
      <c r="M30" s="336"/>
      <c r="N30" s="345">
        <f>Données!S30</f>
        <v>26292.3</v>
      </c>
      <c r="O30" s="345">
        <f>Données!T30</f>
        <v>0</v>
      </c>
      <c r="P30" s="345">
        <f>Données!U30</f>
        <v>34537.4</v>
      </c>
      <c r="Q30" s="318">
        <f>Données!V30</f>
        <v>9146.9500000000007</v>
      </c>
      <c r="R30" s="302">
        <f t="shared" si="2"/>
        <v>33158.934999999998</v>
      </c>
      <c r="S30" s="322">
        <f t="shared" si="3"/>
        <v>-112054.24245245972</v>
      </c>
      <c r="T30" s="323">
        <f t="shared" si="8"/>
        <v>-78895.307452459718</v>
      </c>
    </row>
    <row r="31" spans="1:20" x14ac:dyDescent="0.25">
      <c r="A31" s="148">
        <f>Données!A31</f>
        <v>5430</v>
      </c>
      <c r="B31" s="160" t="str">
        <f>Données!B31</f>
        <v>Marchissy</v>
      </c>
      <c r="C31" s="321">
        <f>Données!C31</f>
        <v>510</v>
      </c>
      <c r="D31" s="318">
        <f>RFS!W31</f>
        <v>1109200.4956414471</v>
      </c>
      <c r="E31" s="336"/>
      <c r="F31" s="342">
        <f t="shared" si="0"/>
        <v>2174.9029326302884</v>
      </c>
      <c r="G31" s="336">
        <f t="shared" si="4"/>
        <v>-1165.511729792554</v>
      </c>
      <c r="H31" s="343">
        <f t="shared" si="1"/>
        <v>-475528.78575536201</v>
      </c>
      <c r="I31" s="313"/>
      <c r="J31" s="344">
        <f t="shared" si="5"/>
        <v>3107.3123164643316</v>
      </c>
      <c r="K31" s="344">
        <f t="shared" si="6"/>
        <v>0</v>
      </c>
      <c r="L31" s="343">
        <f t="shared" si="7"/>
        <v>0</v>
      </c>
      <c r="M31" s="336"/>
      <c r="N31" s="345">
        <f>Données!S31</f>
        <v>22761.05</v>
      </c>
      <c r="O31" s="345">
        <f>Données!T31</f>
        <v>3167.7</v>
      </c>
      <c r="P31" s="345">
        <f>Données!U31</f>
        <v>4658.8500000000004</v>
      </c>
      <c r="Q31" s="318">
        <f>Données!V31</f>
        <v>14843</v>
      </c>
      <c r="R31" s="302">
        <f t="shared" si="2"/>
        <v>19746.699999999997</v>
      </c>
      <c r="S31" s="322">
        <f t="shared" si="3"/>
        <v>-102968.76333469272</v>
      </c>
      <c r="T31" s="323">
        <f t="shared" si="8"/>
        <v>-83222.063334692721</v>
      </c>
    </row>
    <row r="32" spans="1:20" x14ac:dyDescent="0.25">
      <c r="A32" s="148">
        <f>Données!A32</f>
        <v>5431</v>
      </c>
      <c r="B32" s="160" t="str">
        <f>Données!B32</f>
        <v>Mollens</v>
      </c>
      <c r="C32" s="321">
        <f>Données!C32</f>
        <v>324</v>
      </c>
      <c r="D32" s="318">
        <f>RFS!W32</f>
        <v>727975.82435346523</v>
      </c>
      <c r="E32" s="336"/>
      <c r="F32" s="342">
        <f t="shared" si="0"/>
        <v>2246.8389640539049</v>
      </c>
      <c r="G32" s="336">
        <f t="shared" si="4"/>
        <v>-1093.5756983689375</v>
      </c>
      <c r="H32" s="343">
        <f t="shared" si="1"/>
        <v>-283454.82101722865</v>
      </c>
      <c r="I32" s="313"/>
      <c r="J32" s="344">
        <f t="shared" si="5"/>
        <v>3121.6995227490552</v>
      </c>
      <c r="K32" s="344">
        <f t="shared" si="6"/>
        <v>0</v>
      </c>
      <c r="L32" s="343">
        <f t="shared" si="7"/>
        <v>0</v>
      </c>
      <c r="M32" s="336"/>
      <c r="N32" s="345">
        <f>Données!S32</f>
        <v>50150.95</v>
      </c>
      <c r="O32" s="345">
        <f>Données!T32</f>
        <v>0</v>
      </c>
      <c r="P32" s="345">
        <f>Données!U32</f>
        <v>65761.5</v>
      </c>
      <c r="Q32" s="318">
        <f>Données!V32</f>
        <v>0</v>
      </c>
      <c r="R32" s="302">
        <f t="shared" si="2"/>
        <v>57956.224999999999</v>
      </c>
      <c r="S32" s="322">
        <f t="shared" si="3"/>
        <v>-65415.449647922433</v>
      </c>
      <c r="T32" s="323">
        <f t="shared" si="8"/>
        <v>-7459.2246479224341</v>
      </c>
    </row>
    <row r="33" spans="1:20" x14ac:dyDescent="0.25">
      <c r="A33" s="148">
        <f>Données!A33</f>
        <v>5434</v>
      </c>
      <c r="B33" s="160" t="str">
        <f>Données!B33</f>
        <v>Saint-George</v>
      </c>
      <c r="C33" s="321">
        <f>Données!C33</f>
        <v>1083</v>
      </c>
      <c r="D33" s="318">
        <f>RFS!W33</f>
        <v>3442328.842444194</v>
      </c>
      <c r="E33" s="336"/>
      <c r="F33" s="342">
        <f t="shared" si="0"/>
        <v>3178.5123198930692</v>
      </c>
      <c r="G33" s="336">
        <f t="shared" si="4"/>
        <v>-161.90234252977325</v>
      </c>
      <c r="H33" s="343">
        <f t="shared" si="1"/>
        <v>-140272.18956779555</v>
      </c>
      <c r="I33" s="313"/>
      <c r="J33" s="344">
        <f t="shared" si="5"/>
        <v>3308.0341939168879</v>
      </c>
      <c r="K33" s="344">
        <f t="shared" si="6"/>
        <v>0</v>
      </c>
      <c r="L33" s="343">
        <f t="shared" si="7"/>
        <v>0</v>
      </c>
      <c r="M33" s="336"/>
      <c r="N33" s="345">
        <f>Données!S33</f>
        <v>117020.75</v>
      </c>
      <c r="O33" s="345">
        <f>Données!T33</f>
        <v>767</v>
      </c>
      <c r="P33" s="345">
        <f>Données!U33</f>
        <v>20629.599999999999</v>
      </c>
      <c r="Q33" s="318">
        <f>Données!V33</f>
        <v>33647.599999999999</v>
      </c>
      <c r="R33" s="302">
        <f t="shared" si="2"/>
        <v>79302.955000000002</v>
      </c>
      <c r="S33" s="322">
        <f t="shared" si="3"/>
        <v>-218657.19743425923</v>
      </c>
      <c r="T33" s="323">
        <f t="shared" si="8"/>
        <v>-139354.24243425921</v>
      </c>
    </row>
    <row r="34" spans="1:20" x14ac:dyDescent="0.25">
      <c r="A34" s="148">
        <f>Données!A34</f>
        <v>5435</v>
      </c>
      <c r="B34" s="160" t="str">
        <f>Données!B34</f>
        <v>Saint-Livres</v>
      </c>
      <c r="C34" s="321">
        <f>Données!C34</f>
        <v>715</v>
      </c>
      <c r="D34" s="318">
        <f>RFS!W34</f>
        <v>1826011.6023149027</v>
      </c>
      <c r="E34" s="336"/>
      <c r="F34" s="342">
        <f t="shared" si="0"/>
        <v>2553.8623808600037</v>
      </c>
      <c r="G34" s="336">
        <f t="shared" si="4"/>
        <v>-786.55228156283874</v>
      </c>
      <c r="H34" s="343">
        <f t="shared" si="1"/>
        <v>-449907.9050539438</v>
      </c>
      <c r="I34" s="313"/>
      <c r="J34" s="344">
        <f t="shared" si="5"/>
        <v>3183.1042061102748</v>
      </c>
      <c r="K34" s="344">
        <f t="shared" si="6"/>
        <v>0</v>
      </c>
      <c r="L34" s="343">
        <f t="shared" si="7"/>
        <v>0</v>
      </c>
      <c r="M34" s="336"/>
      <c r="N34" s="345">
        <f>Données!S34</f>
        <v>59081.7</v>
      </c>
      <c r="O34" s="345">
        <f>Données!T34</f>
        <v>0</v>
      </c>
      <c r="P34" s="345">
        <f>Données!U34</f>
        <v>43047.95</v>
      </c>
      <c r="Q34" s="318">
        <f>Données!V34</f>
        <v>4996.1499999999996</v>
      </c>
      <c r="R34" s="302">
        <f t="shared" si="2"/>
        <v>52563.67</v>
      </c>
      <c r="S34" s="322">
        <f t="shared" si="3"/>
        <v>-144358.16820452019</v>
      </c>
      <c r="T34" s="323">
        <f t="shared" si="8"/>
        <v>-91794.49820452019</v>
      </c>
    </row>
    <row r="35" spans="1:20" x14ac:dyDescent="0.25">
      <c r="A35" s="148">
        <f>Données!A35</f>
        <v>5436</v>
      </c>
      <c r="B35" s="160" t="str">
        <f>Données!B35</f>
        <v>Saint-Oyens</v>
      </c>
      <c r="C35" s="321">
        <f>Données!C35</f>
        <v>457</v>
      </c>
      <c r="D35" s="318">
        <f>RFS!W35</f>
        <v>1202037.0147102526</v>
      </c>
      <c r="E35" s="336"/>
      <c r="F35" s="342">
        <f t="shared" si="0"/>
        <v>2630.2779315322814</v>
      </c>
      <c r="G35" s="336">
        <f t="shared" si="4"/>
        <v>-710.13673089056101</v>
      </c>
      <c r="H35" s="343">
        <f t="shared" si="1"/>
        <v>-259625.98881358909</v>
      </c>
      <c r="I35" s="313"/>
      <c r="J35" s="344">
        <f t="shared" si="5"/>
        <v>3198.3873162447303</v>
      </c>
      <c r="K35" s="344">
        <f t="shared" si="6"/>
        <v>0</v>
      </c>
      <c r="L35" s="343">
        <f t="shared" si="7"/>
        <v>0</v>
      </c>
      <c r="M35" s="336"/>
      <c r="N35" s="345">
        <f>Données!S35</f>
        <v>88048.5</v>
      </c>
      <c r="O35" s="345">
        <f>Données!T35</f>
        <v>0</v>
      </c>
      <c r="P35" s="345">
        <f>Données!U35</f>
        <v>105928.65</v>
      </c>
      <c r="Q35" s="318">
        <f>Données!V35</f>
        <v>2310.6</v>
      </c>
      <c r="R35" s="302">
        <f t="shared" si="2"/>
        <v>97681.75499999999</v>
      </c>
      <c r="S35" s="322">
        <f t="shared" si="3"/>
        <v>-92268.08792932269</v>
      </c>
      <c r="T35" s="323">
        <f t="shared" si="8"/>
        <v>5413.6670706773002</v>
      </c>
    </row>
    <row r="36" spans="1:20" x14ac:dyDescent="0.25">
      <c r="A36" s="148">
        <f>Données!A36</f>
        <v>5437</v>
      </c>
      <c r="B36" s="160" t="str">
        <f>Données!B36</f>
        <v>Saubraz</v>
      </c>
      <c r="C36" s="321">
        <f>Données!C36</f>
        <v>446</v>
      </c>
      <c r="D36" s="318">
        <f>RFS!W36</f>
        <v>909463.16672237194</v>
      </c>
      <c r="E36" s="336"/>
      <c r="F36" s="342">
        <f t="shared" si="0"/>
        <v>2039.1550823371567</v>
      </c>
      <c r="G36" s="336">
        <f t="shared" si="4"/>
        <v>-1301.2595800856857</v>
      </c>
      <c r="H36" s="343">
        <f t="shared" si="1"/>
        <v>-464289.4181745727</v>
      </c>
      <c r="I36" s="313"/>
      <c r="J36" s="344">
        <f t="shared" si="5"/>
        <v>3080.1627464057055</v>
      </c>
      <c r="K36" s="344">
        <f t="shared" si="6"/>
        <v>0</v>
      </c>
      <c r="L36" s="343">
        <f t="shared" si="7"/>
        <v>0</v>
      </c>
      <c r="M36" s="336"/>
      <c r="N36" s="345">
        <f>Données!S36</f>
        <v>66757.75</v>
      </c>
      <c r="O36" s="345">
        <f>Données!T36</f>
        <v>5054</v>
      </c>
      <c r="P36" s="345">
        <f>Données!U36</f>
        <v>27476.799999999999</v>
      </c>
      <c r="Q36" s="318">
        <f>Données!V36</f>
        <v>1461.3</v>
      </c>
      <c r="R36" s="302">
        <f t="shared" si="2"/>
        <v>50082.665000000001</v>
      </c>
      <c r="S36" s="322">
        <f t="shared" si="3"/>
        <v>-90047.193033868534</v>
      </c>
      <c r="T36" s="323">
        <f t="shared" si="8"/>
        <v>-39964.528033868533</v>
      </c>
    </row>
    <row r="37" spans="1:20" x14ac:dyDescent="0.25">
      <c r="A37" s="148">
        <f>Données!A37</f>
        <v>5451</v>
      </c>
      <c r="B37" s="160" t="str">
        <f>Données!B37</f>
        <v>Avenches</v>
      </c>
      <c r="C37" s="321">
        <f>Données!C37</f>
        <v>4895</v>
      </c>
      <c r="D37" s="318">
        <f>RFS!W37</f>
        <v>9520438.9080504868</v>
      </c>
      <c r="E37" s="336"/>
      <c r="F37" s="342">
        <f t="shared" si="0"/>
        <v>1944.9313397447368</v>
      </c>
      <c r="G37" s="336">
        <f t="shared" si="4"/>
        <v>-1395.4833226781057</v>
      </c>
      <c r="H37" s="343">
        <f t="shared" si="1"/>
        <v>-5464712.6916074613</v>
      </c>
      <c r="I37" s="313"/>
      <c r="J37" s="344">
        <f t="shared" si="5"/>
        <v>3061.3179978872213</v>
      </c>
      <c r="K37" s="344">
        <f t="shared" si="6"/>
        <v>0</v>
      </c>
      <c r="L37" s="343">
        <f t="shared" si="7"/>
        <v>0</v>
      </c>
      <c r="M37" s="336"/>
      <c r="N37" s="345">
        <f>Données!S37</f>
        <v>217083.1</v>
      </c>
      <c r="O37" s="345">
        <f>Données!T37</f>
        <v>111982.8</v>
      </c>
      <c r="P37" s="345">
        <f>Données!U37</f>
        <v>350331.85</v>
      </c>
      <c r="Q37" s="318">
        <f>Données!V37</f>
        <v>613940.9</v>
      </c>
      <c r="R37" s="302">
        <f t="shared" si="2"/>
        <v>523881.14500000002</v>
      </c>
      <c r="S37" s="322">
        <f t="shared" si="3"/>
        <v>-988298.22847709968</v>
      </c>
      <c r="T37" s="323">
        <f t="shared" si="8"/>
        <v>-464417.08347709966</v>
      </c>
    </row>
    <row r="38" spans="1:20" x14ac:dyDescent="0.25">
      <c r="A38" s="148">
        <f>Données!A38</f>
        <v>5456</v>
      </c>
      <c r="B38" s="160" t="str">
        <f>Données!B38</f>
        <v>Cudrefin</v>
      </c>
      <c r="C38" s="321">
        <f>Données!C38</f>
        <v>1885</v>
      </c>
      <c r="D38" s="318">
        <f>RFS!W38</f>
        <v>4601739.0505525963</v>
      </c>
      <c r="E38" s="336"/>
      <c r="F38" s="342">
        <f t="shared" si="0"/>
        <v>2441.2408756247196</v>
      </c>
      <c r="G38" s="336">
        <f t="shared" si="4"/>
        <v>-899.17378679812282</v>
      </c>
      <c r="H38" s="343">
        <f t="shared" si="1"/>
        <v>-1355954.0704915693</v>
      </c>
      <c r="I38" s="313"/>
      <c r="J38" s="344">
        <f t="shared" si="5"/>
        <v>3160.5799050632177</v>
      </c>
      <c r="K38" s="344">
        <f t="shared" si="6"/>
        <v>0</v>
      </c>
      <c r="L38" s="343">
        <f t="shared" si="7"/>
        <v>0</v>
      </c>
      <c r="M38" s="336"/>
      <c r="N38" s="345">
        <f>Données!S38</f>
        <v>207193.60000000001</v>
      </c>
      <c r="O38" s="345">
        <f>Données!T38</f>
        <v>16662.5</v>
      </c>
      <c r="P38" s="345">
        <f>Données!U38</f>
        <v>92460.95</v>
      </c>
      <c r="Q38" s="318">
        <f>Données!V38</f>
        <v>0</v>
      </c>
      <c r="R38" s="302">
        <f t="shared" si="2"/>
        <v>158158.52499999999</v>
      </c>
      <c r="S38" s="322">
        <f t="shared" si="3"/>
        <v>-380580.62526646227</v>
      </c>
      <c r="T38" s="323">
        <f t="shared" si="8"/>
        <v>-222422.10026646228</v>
      </c>
    </row>
    <row r="39" spans="1:20" x14ac:dyDescent="0.25">
      <c r="A39" s="148">
        <f>Données!A39</f>
        <v>5458</v>
      </c>
      <c r="B39" s="160" t="str">
        <f>Données!B39</f>
        <v>Faoug</v>
      </c>
      <c r="C39" s="321">
        <f>Données!C39</f>
        <v>900</v>
      </c>
      <c r="D39" s="318">
        <f>RFS!W39</f>
        <v>2237682.4418484704</v>
      </c>
      <c r="E39" s="336"/>
      <c r="F39" s="342">
        <f t="shared" si="0"/>
        <v>2486.3138242760783</v>
      </c>
      <c r="G39" s="336">
        <f t="shared" si="4"/>
        <v>-854.10083814676409</v>
      </c>
      <c r="H39" s="343">
        <f t="shared" si="1"/>
        <v>-614952.60346567014</v>
      </c>
      <c r="I39" s="313"/>
      <c r="J39" s="344">
        <f t="shared" si="5"/>
        <v>3169.5944947934895</v>
      </c>
      <c r="K39" s="344">
        <f t="shared" si="6"/>
        <v>0</v>
      </c>
      <c r="L39" s="343">
        <f t="shared" si="7"/>
        <v>0</v>
      </c>
      <c r="M39" s="336"/>
      <c r="N39" s="345">
        <f>Données!S39</f>
        <v>67553.75</v>
      </c>
      <c r="O39" s="345">
        <f>Données!T39</f>
        <v>8735.1</v>
      </c>
      <c r="P39" s="345">
        <f>Données!U39</f>
        <v>81141.7</v>
      </c>
      <c r="Q39" s="318">
        <f>Données!V39</f>
        <v>8395.4</v>
      </c>
      <c r="R39" s="302">
        <f t="shared" si="2"/>
        <v>81233.89499999999</v>
      </c>
      <c r="S39" s="322">
        <f t="shared" si="3"/>
        <v>-181709.58235534007</v>
      </c>
      <c r="T39" s="323">
        <f t="shared" si="8"/>
        <v>-100475.68735534008</v>
      </c>
    </row>
    <row r="40" spans="1:20" x14ac:dyDescent="0.25">
      <c r="A40" s="148">
        <f>Données!A40</f>
        <v>5464</v>
      </c>
      <c r="B40" s="160" t="str">
        <f>Données!B40</f>
        <v>Vully-les-Lacs</v>
      </c>
      <c r="C40" s="321">
        <f>Données!C40</f>
        <v>3639</v>
      </c>
      <c r="D40" s="318">
        <f>RFS!W40</f>
        <v>8395239.1769832019</v>
      </c>
      <c r="E40" s="336"/>
      <c r="F40" s="342">
        <f t="shared" si="0"/>
        <v>2307.0181854859034</v>
      </c>
      <c r="G40" s="336">
        <f t="shared" si="4"/>
        <v>-1033.3964769369391</v>
      </c>
      <c r="H40" s="343">
        <f t="shared" si="1"/>
        <v>-3008423.823658817</v>
      </c>
      <c r="I40" s="313"/>
      <c r="J40" s="344">
        <f t="shared" si="5"/>
        <v>3133.7353670354546</v>
      </c>
      <c r="K40" s="344">
        <f t="shared" si="6"/>
        <v>0</v>
      </c>
      <c r="L40" s="343">
        <f t="shared" si="7"/>
        <v>0</v>
      </c>
      <c r="M40" s="336"/>
      <c r="N40" s="345">
        <f>Données!S40</f>
        <v>391922.55</v>
      </c>
      <c r="O40" s="345">
        <f>Données!T40</f>
        <v>79416</v>
      </c>
      <c r="P40" s="345">
        <f>Données!U40</f>
        <v>246262.9</v>
      </c>
      <c r="Q40" s="318">
        <f>Données!V40</f>
        <v>2999.75</v>
      </c>
      <c r="R40" s="302">
        <f t="shared" si="2"/>
        <v>359700.64999999997</v>
      </c>
      <c r="S40" s="322">
        <f t="shared" si="3"/>
        <v>-734712.41132342501</v>
      </c>
      <c r="T40" s="323">
        <f t="shared" si="8"/>
        <v>-375011.76132342505</v>
      </c>
    </row>
    <row r="41" spans="1:20" x14ac:dyDescent="0.25">
      <c r="A41" s="148">
        <f>Données!A41</f>
        <v>5471</v>
      </c>
      <c r="B41" s="160" t="str">
        <f>Données!B41</f>
        <v>Bettens</v>
      </c>
      <c r="C41" s="321">
        <f>Données!C41</f>
        <v>653</v>
      </c>
      <c r="D41" s="318">
        <f>RFS!W41</f>
        <v>1611955.7098097056</v>
      </c>
      <c r="E41" s="336"/>
      <c r="F41" s="342">
        <f t="shared" si="0"/>
        <v>2468.5386061404374</v>
      </c>
      <c r="G41" s="336">
        <f t="shared" si="4"/>
        <v>-871.87605628240499</v>
      </c>
      <c r="H41" s="343">
        <f t="shared" si="1"/>
        <v>-455468.05180192838</v>
      </c>
      <c r="I41" s="313"/>
      <c r="J41" s="344">
        <f t="shared" si="5"/>
        <v>3166.0394511663617</v>
      </c>
      <c r="K41" s="344">
        <f t="shared" si="6"/>
        <v>0</v>
      </c>
      <c r="L41" s="343">
        <f t="shared" si="7"/>
        <v>0</v>
      </c>
      <c r="M41" s="336"/>
      <c r="N41" s="345">
        <f>Données!S41</f>
        <v>119507.45</v>
      </c>
      <c r="O41" s="345">
        <f>Données!T41</f>
        <v>0</v>
      </c>
      <c r="P41" s="345">
        <f>Données!U41</f>
        <v>91470.9</v>
      </c>
      <c r="Q41" s="318">
        <f>Données!V41</f>
        <v>7016.6</v>
      </c>
      <c r="R41" s="302">
        <f t="shared" si="2"/>
        <v>107594.15499999998</v>
      </c>
      <c r="S41" s="322">
        <f t="shared" si="3"/>
        <v>-131840.39697559676</v>
      </c>
      <c r="T41" s="323">
        <f t="shared" si="8"/>
        <v>-24246.241975596771</v>
      </c>
    </row>
    <row r="42" spans="1:20" x14ac:dyDescent="0.25">
      <c r="A42" s="148">
        <f>Données!A42</f>
        <v>5472</v>
      </c>
      <c r="B42" s="160" t="str">
        <f>Données!B42</f>
        <v>Bournens</v>
      </c>
      <c r="C42" s="321">
        <f>Données!C42</f>
        <v>532</v>
      </c>
      <c r="D42" s="318">
        <f>RFS!W42</f>
        <v>1330544.0001062378</v>
      </c>
      <c r="E42" s="336"/>
      <c r="F42" s="342">
        <f t="shared" si="0"/>
        <v>2501.0225565906726</v>
      </c>
      <c r="G42" s="336">
        <f t="shared" si="4"/>
        <v>-839.39210583216982</v>
      </c>
      <c r="H42" s="343">
        <f t="shared" si="1"/>
        <v>-357245.28024217149</v>
      </c>
      <c r="I42" s="313"/>
      <c r="J42" s="344">
        <f t="shared" si="5"/>
        <v>3172.5362412564086</v>
      </c>
      <c r="K42" s="344">
        <f t="shared" si="6"/>
        <v>0</v>
      </c>
      <c r="L42" s="343">
        <f t="shared" si="7"/>
        <v>0</v>
      </c>
      <c r="M42" s="336"/>
      <c r="N42" s="345">
        <f>Données!S42</f>
        <v>71532.95</v>
      </c>
      <c r="O42" s="345">
        <f>Données!T42</f>
        <v>0</v>
      </c>
      <c r="P42" s="345">
        <f>Données!U42</f>
        <v>43646.65</v>
      </c>
      <c r="Q42" s="318">
        <f>Données!V42</f>
        <v>0</v>
      </c>
      <c r="R42" s="302">
        <f t="shared" si="2"/>
        <v>57589.8</v>
      </c>
      <c r="S42" s="322">
        <f t="shared" si="3"/>
        <v>-107410.55312560103</v>
      </c>
      <c r="T42" s="323">
        <f t="shared" si="8"/>
        <v>-49820.753125601026</v>
      </c>
    </row>
    <row r="43" spans="1:20" x14ac:dyDescent="0.25">
      <c r="A43" s="148">
        <f>Données!A43</f>
        <v>5473</v>
      </c>
      <c r="B43" s="160" t="str">
        <f>Données!B43</f>
        <v>Boussens</v>
      </c>
      <c r="C43" s="321">
        <f>Données!C43</f>
        <v>1007</v>
      </c>
      <c r="D43" s="318">
        <f>RFS!W43</f>
        <v>2594041.4065573849</v>
      </c>
      <c r="E43" s="336"/>
      <c r="F43" s="342">
        <f t="shared" si="0"/>
        <v>2576.0093411692005</v>
      </c>
      <c r="G43" s="336">
        <f t="shared" si="4"/>
        <v>-764.40532125364189</v>
      </c>
      <c r="H43" s="343">
        <f t="shared" si="1"/>
        <v>-615804.92680193391</v>
      </c>
      <c r="I43" s="313"/>
      <c r="J43" s="344">
        <f t="shared" si="5"/>
        <v>3187.5335981721141</v>
      </c>
      <c r="K43" s="344">
        <f t="shared" si="6"/>
        <v>0</v>
      </c>
      <c r="L43" s="343">
        <f t="shared" si="7"/>
        <v>0</v>
      </c>
      <c r="M43" s="336"/>
      <c r="N43" s="345">
        <f>Données!S43</f>
        <v>73823.350000000006</v>
      </c>
      <c r="O43" s="345">
        <f>Données!T43</f>
        <v>0</v>
      </c>
      <c r="P43" s="345">
        <f>Données!U43</f>
        <v>58172.95</v>
      </c>
      <c r="Q43" s="318">
        <f>Données!V43</f>
        <v>6281.35</v>
      </c>
      <c r="R43" s="302">
        <f t="shared" si="2"/>
        <v>67882.554999999993</v>
      </c>
      <c r="S43" s="322">
        <f t="shared" si="3"/>
        <v>-203312.83270203052</v>
      </c>
      <c r="T43" s="323">
        <f t="shared" si="8"/>
        <v>-135430.27770203052</v>
      </c>
    </row>
    <row r="44" spans="1:20" x14ac:dyDescent="0.25">
      <c r="A44" s="148">
        <f>Données!A44</f>
        <v>5474</v>
      </c>
      <c r="B44" s="160" t="str">
        <f>Données!B44</f>
        <v>La Chaux (Cossonay)</v>
      </c>
      <c r="C44" s="321">
        <f>Données!C44</f>
        <v>436</v>
      </c>
      <c r="D44" s="318">
        <f>RFS!W44</f>
        <v>904976.53187188238</v>
      </c>
      <c r="E44" s="336"/>
      <c r="F44" s="342">
        <f t="shared" si="0"/>
        <v>2075.6342474125745</v>
      </c>
      <c r="G44" s="336">
        <f t="shared" si="4"/>
        <v>-1264.7804150102679</v>
      </c>
      <c r="H44" s="343">
        <f t="shared" si="1"/>
        <v>-441155.40875558148</v>
      </c>
      <c r="I44" s="313"/>
      <c r="J44" s="344">
        <f t="shared" si="5"/>
        <v>3087.4585794207887</v>
      </c>
      <c r="K44" s="344">
        <f t="shared" si="6"/>
        <v>0</v>
      </c>
      <c r="L44" s="343">
        <f t="shared" si="7"/>
        <v>0</v>
      </c>
      <c r="M44" s="336"/>
      <c r="N44" s="345">
        <f>Données!S44</f>
        <v>44734.400000000001</v>
      </c>
      <c r="O44" s="345">
        <f>Données!T44</f>
        <v>33750.400000000001</v>
      </c>
      <c r="P44" s="345">
        <f>Données!U44</f>
        <v>16547.8</v>
      </c>
      <c r="Q44" s="318">
        <f>Données!V44</f>
        <v>3549.4</v>
      </c>
      <c r="R44" s="302">
        <f t="shared" si="2"/>
        <v>48581.120000000003</v>
      </c>
      <c r="S44" s="322">
        <f t="shared" si="3"/>
        <v>-88028.197674364754</v>
      </c>
      <c r="T44" s="323">
        <f t="shared" si="8"/>
        <v>-39447.077674364751</v>
      </c>
    </row>
    <row r="45" spans="1:20" x14ac:dyDescent="0.25">
      <c r="A45" s="148">
        <f>Données!A45</f>
        <v>5475</v>
      </c>
      <c r="B45" s="160" t="str">
        <f>Données!B45</f>
        <v>Chavannes-le-Veyron</v>
      </c>
      <c r="C45" s="321">
        <f>Données!C45</f>
        <v>160</v>
      </c>
      <c r="D45" s="318">
        <f>RFS!W45</f>
        <v>278977.25830634928</v>
      </c>
      <c r="E45" s="336"/>
      <c r="F45" s="342">
        <f t="shared" si="0"/>
        <v>1743.607864414683</v>
      </c>
      <c r="G45" s="336">
        <f t="shared" si="4"/>
        <v>-1596.8067980081594</v>
      </c>
      <c r="H45" s="343">
        <f t="shared" si="1"/>
        <v>-204391.2701450444</v>
      </c>
      <c r="I45" s="313"/>
      <c r="J45" s="344">
        <f t="shared" si="5"/>
        <v>3021.0533028212103</v>
      </c>
      <c r="K45" s="344">
        <f t="shared" si="6"/>
        <v>0</v>
      </c>
      <c r="L45" s="343">
        <f t="shared" si="7"/>
        <v>0</v>
      </c>
      <c r="M45" s="336"/>
      <c r="N45" s="345">
        <f>Données!S45</f>
        <v>58245</v>
      </c>
      <c r="O45" s="345">
        <f>Données!T45</f>
        <v>0</v>
      </c>
      <c r="P45" s="345">
        <f>Données!U45</f>
        <v>64082.9</v>
      </c>
      <c r="Q45" s="318">
        <f>Données!V45</f>
        <v>0</v>
      </c>
      <c r="R45" s="302">
        <f t="shared" si="2"/>
        <v>61163.95</v>
      </c>
      <c r="S45" s="322">
        <f t="shared" si="3"/>
        <v>-32303.925752060459</v>
      </c>
      <c r="T45" s="323">
        <f t="shared" si="8"/>
        <v>28860.024247939538</v>
      </c>
    </row>
    <row r="46" spans="1:20" x14ac:dyDescent="0.25">
      <c r="A46" s="148">
        <f>Données!A46</f>
        <v>5476</v>
      </c>
      <c r="B46" s="160" t="str">
        <f>Données!B46</f>
        <v>Chevilly</v>
      </c>
      <c r="C46" s="321">
        <f>Données!C46</f>
        <v>346</v>
      </c>
      <c r="D46" s="318">
        <f>RFS!W46</f>
        <v>809502.96838063281</v>
      </c>
      <c r="E46" s="336"/>
      <c r="F46" s="342">
        <f t="shared" si="0"/>
        <v>2339.6039548573203</v>
      </c>
      <c r="G46" s="336">
        <f t="shared" si="4"/>
        <v>-1000.8107075655221</v>
      </c>
      <c r="H46" s="343">
        <f t="shared" si="1"/>
        <v>-277024.40385413653</v>
      </c>
      <c r="I46" s="313"/>
      <c r="J46" s="344">
        <f t="shared" si="5"/>
        <v>3140.252520909738</v>
      </c>
      <c r="K46" s="344">
        <f t="shared" si="6"/>
        <v>0</v>
      </c>
      <c r="L46" s="343">
        <f t="shared" si="7"/>
        <v>0</v>
      </c>
      <c r="M46" s="336"/>
      <c r="N46" s="345">
        <f>Données!S46</f>
        <v>57200</v>
      </c>
      <c r="O46" s="345">
        <f>Données!T46</f>
        <v>312</v>
      </c>
      <c r="P46" s="345">
        <f>Données!U46</f>
        <v>3681.35</v>
      </c>
      <c r="Q46" s="318">
        <f>Données!V46</f>
        <v>0</v>
      </c>
      <c r="R46" s="302">
        <f t="shared" si="2"/>
        <v>30596.674999999999</v>
      </c>
      <c r="S46" s="322">
        <f t="shared" si="3"/>
        <v>-69857.239438830744</v>
      </c>
      <c r="T46" s="323">
        <f t="shared" si="8"/>
        <v>-39260.564438830741</v>
      </c>
    </row>
    <row r="47" spans="1:20" x14ac:dyDescent="0.25">
      <c r="A47" s="148">
        <f>Données!A47</f>
        <v>5477</v>
      </c>
      <c r="B47" s="160" t="str">
        <f>Données!B47</f>
        <v>Cossonay</v>
      </c>
      <c r="C47" s="321">
        <f>Données!C47</f>
        <v>4902</v>
      </c>
      <c r="D47" s="318">
        <f>RFS!W47</f>
        <v>12258525.756380351</v>
      </c>
      <c r="E47" s="336"/>
      <c r="F47" s="342">
        <f t="shared" si="0"/>
        <v>2500.7192485476035</v>
      </c>
      <c r="G47" s="336">
        <f t="shared" si="4"/>
        <v>-839.69541387523896</v>
      </c>
      <c r="H47" s="343">
        <f t="shared" si="1"/>
        <v>-3292949.5350531372</v>
      </c>
      <c r="I47" s="313"/>
      <c r="J47" s="344">
        <f t="shared" si="5"/>
        <v>3172.4755796477948</v>
      </c>
      <c r="K47" s="344">
        <f t="shared" si="6"/>
        <v>0</v>
      </c>
      <c r="L47" s="343">
        <f t="shared" si="7"/>
        <v>0</v>
      </c>
      <c r="M47" s="336"/>
      <c r="N47" s="345">
        <f>Données!S47</f>
        <v>1126268.95</v>
      </c>
      <c r="O47" s="345">
        <f>Données!T47</f>
        <v>646711.5</v>
      </c>
      <c r="P47" s="345">
        <f>Données!U47</f>
        <v>300417</v>
      </c>
      <c r="Q47" s="318">
        <f>Données!V47</f>
        <v>203349.35</v>
      </c>
      <c r="R47" s="302">
        <f t="shared" si="2"/>
        <v>1097703.53</v>
      </c>
      <c r="S47" s="322">
        <f t="shared" si="3"/>
        <v>-989711.52522875229</v>
      </c>
      <c r="T47" s="323">
        <f t="shared" si="8"/>
        <v>107992.00477124774</v>
      </c>
    </row>
    <row r="48" spans="1:20" x14ac:dyDescent="0.25">
      <c r="A48" s="148">
        <f>Données!A48</f>
        <v>5479</v>
      </c>
      <c r="B48" s="160" t="str">
        <f>Données!B48</f>
        <v>Cuarnens</v>
      </c>
      <c r="C48" s="321">
        <f>Données!C48</f>
        <v>561</v>
      </c>
      <c r="D48" s="318">
        <f>RFS!W48</f>
        <v>1305672.9939845889</v>
      </c>
      <c r="E48" s="336"/>
      <c r="F48" s="342">
        <f t="shared" si="0"/>
        <v>2327.4028413272531</v>
      </c>
      <c r="G48" s="336">
        <f t="shared" si="4"/>
        <v>-1013.0118210955893</v>
      </c>
      <c r="H48" s="343">
        <f t="shared" si="1"/>
        <v>-454639.7053077005</v>
      </c>
      <c r="I48" s="313"/>
      <c r="J48" s="344">
        <f t="shared" si="5"/>
        <v>3137.8122982037248</v>
      </c>
      <c r="K48" s="344">
        <f t="shared" si="6"/>
        <v>0</v>
      </c>
      <c r="L48" s="343">
        <f t="shared" si="7"/>
        <v>0</v>
      </c>
      <c r="M48" s="336"/>
      <c r="N48" s="345">
        <f>Données!S48</f>
        <v>18698.25</v>
      </c>
      <c r="O48" s="345">
        <f>Données!T48</f>
        <v>7456.5</v>
      </c>
      <c r="P48" s="345">
        <f>Données!U48</f>
        <v>12343.8</v>
      </c>
      <c r="Q48" s="318">
        <f>Données!V48</f>
        <v>1838.5</v>
      </c>
      <c r="R48" s="302">
        <f t="shared" si="2"/>
        <v>19800.825000000001</v>
      </c>
      <c r="S48" s="322">
        <f t="shared" si="3"/>
        <v>-113265.63966816198</v>
      </c>
      <c r="T48" s="323">
        <f t="shared" si="8"/>
        <v>-93464.814668161984</v>
      </c>
    </row>
    <row r="49" spans="1:20" x14ac:dyDescent="0.25">
      <c r="A49" s="148">
        <f>Données!A49</f>
        <v>5480</v>
      </c>
      <c r="B49" s="160" t="str">
        <f>Données!B49</f>
        <v>Daillens</v>
      </c>
      <c r="C49" s="321">
        <f>Données!C49</f>
        <v>1099</v>
      </c>
      <c r="D49" s="318">
        <f>RFS!W49</f>
        <v>3332284.6353540742</v>
      </c>
      <c r="E49" s="336"/>
      <c r="F49" s="342">
        <f t="shared" si="0"/>
        <v>3032.1061286206318</v>
      </c>
      <c r="G49" s="336">
        <f t="shared" si="4"/>
        <v>-308.3085338022106</v>
      </c>
      <c r="H49" s="343">
        <f t="shared" si="1"/>
        <v>-271064.86291890359</v>
      </c>
      <c r="I49" s="313"/>
      <c r="J49" s="344">
        <f t="shared" si="5"/>
        <v>3278.7529556624004</v>
      </c>
      <c r="K49" s="344">
        <f t="shared" si="6"/>
        <v>0</v>
      </c>
      <c r="L49" s="343">
        <f t="shared" si="7"/>
        <v>0</v>
      </c>
      <c r="M49" s="336"/>
      <c r="N49" s="345">
        <f>Données!S49</f>
        <v>235792.2</v>
      </c>
      <c r="O49" s="345">
        <f>Données!T49</f>
        <v>83161.7</v>
      </c>
      <c r="P49" s="345">
        <f>Données!U49</f>
        <v>48757.25</v>
      </c>
      <c r="Q49" s="318">
        <f>Données!V49</f>
        <v>169170.25</v>
      </c>
      <c r="R49" s="302">
        <f t="shared" si="2"/>
        <v>234606.65000000002</v>
      </c>
      <c r="S49" s="322">
        <f t="shared" si="3"/>
        <v>-221887.59000946529</v>
      </c>
      <c r="T49" s="323">
        <f t="shared" si="8"/>
        <v>12719.059990534734</v>
      </c>
    </row>
    <row r="50" spans="1:20" x14ac:dyDescent="0.25">
      <c r="A50" s="148">
        <f>Données!A50</f>
        <v>5481</v>
      </c>
      <c r="B50" s="160" t="str">
        <f>Données!B50</f>
        <v>Dizy</v>
      </c>
      <c r="C50" s="321">
        <f>Données!C50</f>
        <v>238</v>
      </c>
      <c r="D50" s="318">
        <f>RFS!W50</f>
        <v>595852.34909651871</v>
      </c>
      <c r="E50" s="336"/>
      <c r="F50" s="342">
        <f t="shared" si="0"/>
        <v>2503.5812987248687</v>
      </c>
      <c r="G50" s="336">
        <f t="shared" si="4"/>
        <v>-836.83336369797371</v>
      </c>
      <c r="H50" s="343">
        <f t="shared" si="1"/>
        <v>-159333.0724480942</v>
      </c>
      <c r="I50" s="313"/>
      <c r="J50" s="344">
        <f t="shared" si="5"/>
        <v>3173.0479896832476</v>
      </c>
      <c r="K50" s="344">
        <f t="shared" si="6"/>
        <v>0</v>
      </c>
      <c r="L50" s="343">
        <f t="shared" si="7"/>
        <v>0</v>
      </c>
      <c r="M50" s="336"/>
      <c r="N50" s="345">
        <f>Données!S50</f>
        <v>14520</v>
      </c>
      <c r="O50" s="345">
        <f>Données!T50</f>
        <v>62.5</v>
      </c>
      <c r="P50" s="345">
        <f>Données!U50</f>
        <v>27407.5</v>
      </c>
      <c r="Q50" s="318">
        <f>Données!V50</f>
        <v>0</v>
      </c>
      <c r="R50" s="302">
        <f t="shared" si="2"/>
        <v>20995</v>
      </c>
      <c r="S50" s="322">
        <f t="shared" si="3"/>
        <v>-48052.089556189931</v>
      </c>
      <c r="T50" s="323">
        <f t="shared" si="8"/>
        <v>-27057.089556189931</v>
      </c>
    </row>
    <row r="51" spans="1:20" x14ac:dyDescent="0.25">
      <c r="A51" s="148">
        <f>Données!A51</f>
        <v>5482</v>
      </c>
      <c r="B51" s="160" t="str">
        <f>Données!B51</f>
        <v>Eclépens</v>
      </c>
      <c r="C51" s="321">
        <f>Données!C51</f>
        <v>1211</v>
      </c>
      <c r="D51" s="318">
        <f>RFS!W51</f>
        <v>3133294.3208294297</v>
      </c>
      <c r="E51" s="336"/>
      <c r="F51" s="342">
        <f t="shared" si="0"/>
        <v>2587.3611237237237</v>
      </c>
      <c r="G51" s="336">
        <f t="shared" si="4"/>
        <v>-753.05353869911869</v>
      </c>
      <c r="H51" s="343">
        <f t="shared" si="1"/>
        <v>-729558.26829170622</v>
      </c>
      <c r="I51" s="313"/>
      <c r="J51" s="344">
        <f t="shared" si="5"/>
        <v>3189.8039546830187</v>
      </c>
      <c r="K51" s="344">
        <f t="shared" si="6"/>
        <v>0</v>
      </c>
      <c r="L51" s="343">
        <f t="shared" si="7"/>
        <v>0</v>
      </c>
      <c r="M51" s="336"/>
      <c r="N51" s="345">
        <f>Données!S51</f>
        <v>36669.699999999997</v>
      </c>
      <c r="O51" s="345">
        <f>Données!T51</f>
        <v>0</v>
      </c>
      <c r="P51" s="345">
        <f>Données!U51</f>
        <v>50775.9</v>
      </c>
      <c r="Q51" s="318">
        <f>Données!V51</f>
        <v>562868</v>
      </c>
      <c r="R51" s="302">
        <f t="shared" si="2"/>
        <v>212583.2</v>
      </c>
      <c r="S51" s="322">
        <f t="shared" si="3"/>
        <v>-244500.3380359076</v>
      </c>
      <c r="T51" s="323">
        <f t="shared" si="8"/>
        <v>-31917.138035907585</v>
      </c>
    </row>
    <row r="52" spans="1:20" x14ac:dyDescent="0.25">
      <c r="A52" s="148">
        <f>Données!A52</f>
        <v>5483</v>
      </c>
      <c r="B52" s="160" t="str">
        <f>Données!B52</f>
        <v>Ferreyres</v>
      </c>
      <c r="C52" s="321">
        <f>Données!C52</f>
        <v>309</v>
      </c>
      <c r="D52" s="318">
        <f>RFS!W52</f>
        <v>762028.43685001426</v>
      </c>
      <c r="E52" s="336"/>
      <c r="F52" s="342">
        <f t="shared" si="0"/>
        <v>2466.1114461165512</v>
      </c>
      <c r="G52" s="336">
        <f t="shared" si="4"/>
        <v>-874.30321630629123</v>
      </c>
      <c r="H52" s="343">
        <f t="shared" si="1"/>
        <v>-216127.75507091518</v>
      </c>
      <c r="I52" s="313"/>
      <c r="J52" s="344">
        <f t="shared" si="5"/>
        <v>3165.5540191615842</v>
      </c>
      <c r="K52" s="344">
        <f t="shared" si="6"/>
        <v>0</v>
      </c>
      <c r="L52" s="343">
        <f t="shared" si="7"/>
        <v>0</v>
      </c>
      <c r="M52" s="336"/>
      <c r="N52" s="345">
        <f>Données!S52</f>
        <v>15400</v>
      </c>
      <c r="O52" s="345">
        <f>Données!T52</f>
        <v>0</v>
      </c>
      <c r="P52" s="345">
        <f>Données!U52</f>
        <v>15106.45</v>
      </c>
      <c r="Q52" s="318">
        <f>Données!V52</f>
        <v>2280.15</v>
      </c>
      <c r="R52" s="302">
        <f t="shared" si="2"/>
        <v>15937.27</v>
      </c>
      <c r="S52" s="322">
        <f t="shared" si="3"/>
        <v>-62386.956608666762</v>
      </c>
      <c r="T52" s="323">
        <f t="shared" si="8"/>
        <v>-46449.686608666758</v>
      </c>
    </row>
    <row r="53" spans="1:20" x14ac:dyDescent="0.25">
      <c r="A53" s="148">
        <f>Données!A53</f>
        <v>5484</v>
      </c>
      <c r="B53" s="160" t="str">
        <f>Données!B53</f>
        <v>Gollion</v>
      </c>
      <c r="C53" s="321">
        <f>Données!C53</f>
        <v>1064</v>
      </c>
      <c r="D53" s="318">
        <f>RFS!W53</f>
        <v>2296655.5102638514</v>
      </c>
      <c r="E53" s="336"/>
      <c r="F53" s="342">
        <f t="shared" si="0"/>
        <v>2158.5108179171534</v>
      </c>
      <c r="G53" s="336">
        <f t="shared" si="4"/>
        <v>-1181.903844505689</v>
      </c>
      <c r="H53" s="343">
        <f t="shared" si="1"/>
        <v>-1006036.5524432425</v>
      </c>
      <c r="I53" s="313"/>
      <c r="J53" s="344">
        <f t="shared" si="5"/>
        <v>3104.0338935217046</v>
      </c>
      <c r="K53" s="344">
        <f t="shared" si="6"/>
        <v>0</v>
      </c>
      <c r="L53" s="343">
        <f t="shared" si="7"/>
        <v>0</v>
      </c>
      <c r="M53" s="336"/>
      <c r="N53" s="345">
        <f>Données!S53</f>
        <v>50178.05</v>
      </c>
      <c r="O53" s="345">
        <f>Données!T53</f>
        <v>45248.6</v>
      </c>
      <c r="P53" s="345">
        <f>Données!U53</f>
        <v>130881.9</v>
      </c>
      <c r="Q53" s="318">
        <f>Données!V53</f>
        <v>45273.95</v>
      </c>
      <c r="R53" s="302">
        <f t="shared" si="2"/>
        <v>126736.45999999999</v>
      </c>
      <c r="S53" s="322">
        <f t="shared" si="3"/>
        <v>-214821.10625120206</v>
      </c>
      <c r="T53" s="323">
        <f t="shared" si="8"/>
        <v>-88084.646251202066</v>
      </c>
    </row>
    <row r="54" spans="1:20" x14ac:dyDescent="0.25">
      <c r="A54" s="148">
        <f>Données!A54</f>
        <v>5485</v>
      </c>
      <c r="B54" s="160" t="str">
        <f>Données!B54</f>
        <v>Grancy</v>
      </c>
      <c r="C54" s="321">
        <f>Données!C54</f>
        <v>540</v>
      </c>
      <c r="D54" s="318">
        <f>RFS!W54</f>
        <v>1789171.6925625973</v>
      </c>
      <c r="E54" s="336"/>
      <c r="F54" s="342">
        <f t="shared" si="0"/>
        <v>3313.2809121529581</v>
      </c>
      <c r="G54" s="336">
        <f t="shared" si="4"/>
        <v>-27.133750269884331</v>
      </c>
      <c r="H54" s="343">
        <f t="shared" si="1"/>
        <v>-11721.780116590033</v>
      </c>
      <c r="I54" s="313"/>
      <c r="J54" s="344">
        <f t="shared" si="5"/>
        <v>3334.9879123688656</v>
      </c>
      <c r="K54" s="344">
        <f t="shared" si="6"/>
        <v>0</v>
      </c>
      <c r="L54" s="343">
        <f t="shared" si="7"/>
        <v>0</v>
      </c>
      <c r="M54" s="336"/>
      <c r="N54" s="345">
        <f>Données!S54</f>
        <v>65285</v>
      </c>
      <c r="O54" s="345">
        <f>Données!T54</f>
        <v>31727.9</v>
      </c>
      <c r="P54" s="345">
        <f>Données!U54</f>
        <v>44814.85</v>
      </c>
      <c r="Q54" s="318">
        <f>Données!V54</f>
        <v>6368.85</v>
      </c>
      <c r="R54" s="302">
        <f t="shared" si="2"/>
        <v>72824.53</v>
      </c>
      <c r="S54" s="322">
        <f t="shared" si="3"/>
        <v>-109025.74941320404</v>
      </c>
      <c r="T54" s="323">
        <f t="shared" si="8"/>
        <v>-36201.219413204046</v>
      </c>
    </row>
    <row r="55" spans="1:20" x14ac:dyDescent="0.25">
      <c r="A55" s="148">
        <f>Données!A55</f>
        <v>5486</v>
      </c>
      <c r="B55" s="160" t="str">
        <f>Données!B55</f>
        <v>L'Isle</v>
      </c>
      <c r="C55" s="321">
        <f>Données!C55</f>
        <v>1096</v>
      </c>
      <c r="D55" s="318">
        <f>RFS!W55</f>
        <v>2519400.487329518</v>
      </c>
      <c r="E55" s="336"/>
      <c r="F55" s="342">
        <f t="shared" si="0"/>
        <v>2298.7230723809471</v>
      </c>
      <c r="G55" s="336">
        <f t="shared" si="4"/>
        <v>-1041.6915900418953</v>
      </c>
      <c r="H55" s="343">
        <f t="shared" si="1"/>
        <v>-913355.18614873383</v>
      </c>
      <c r="I55" s="313"/>
      <c r="J55" s="344">
        <f t="shared" si="5"/>
        <v>3132.0763444144632</v>
      </c>
      <c r="K55" s="344">
        <f t="shared" si="6"/>
        <v>0</v>
      </c>
      <c r="L55" s="343">
        <f t="shared" si="7"/>
        <v>0</v>
      </c>
      <c r="M55" s="336"/>
      <c r="N55" s="345">
        <f>Données!S55</f>
        <v>75903.350000000006</v>
      </c>
      <c r="O55" s="345">
        <f>Données!T55</f>
        <v>114475.5</v>
      </c>
      <c r="P55" s="345">
        <f>Données!U55</f>
        <v>67029</v>
      </c>
      <c r="Q55" s="318">
        <f>Données!V55</f>
        <v>48981.1</v>
      </c>
      <c r="R55" s="302">
        <f t="shared" si="2"/>
        <v>143398.255</v>
      </c>
      <c r="S55" s="322">
        <f t="shared" si="3"/>
        <v>-221281.89140161415</v>
      </c>
      <c r="T55" s="323">
        <f t="shared" si="8"/>
        <v>-77883.636401614145</v>
      </c>
    </row>
    <row r="56" spans="1:20" x14ac:dyDescent="0.25">
      <c r="A56" s="148">
        <f>Données!A56</f>
        <v>5487</v>
      </c>
      <c r="B56" s="160" t="str">
        <f>Données!B56</f>
        <v>Lussery-Villars</v>
      </c>
      <c r="C56" s="321">
        <f>Données!C56</f>
        <v>468</v>
      </c>
      <c r="D56" s="318">
        <f>RFS!W56</f>
        <v>1027817.2823269027</v>
      </c>
      <c r="E56" s="336"/>
      <c r="F56" s="342">
        <f t="shared" si="0"/>
        <v>2196.1907742027838</v>
      </c>
      <c r="G56" s="336">
        <f t="shared" si="4"/>
        <v>-1144.2238882200586</v>
      </c>
      <c r="H56" s="343">
        <f t="shared" si="1"/>
        <v>-428397.42374959</v>
      </c>
      <c r="I56" s="313"/>
      <c r="J56" s="344">
        <f t="shared" si="5"/>
        <v>3111.5698847788308</v>
      </c>
      <c r="K56" s="344">
        <f t="shared" si="6"/>
        <v>0</v>
      </c>
      <c r="L56" s="343">
        <f t="shared" si="7"/>
        <v>0</v>
      </c>
      <c r="M56" s="336"/>
      <c r="N56" s="345">
        <f>Données!S56</f>
        <v>36080</v>
      </c>
      <c r="O56" s="345">
        <f>Données!T56</f>
        <v>4669.5</v>
      </c>
      <c r="P56" s="345">
        <f>Données!U56</f>
        <v>44120.75</v>
      </c>
      <c r="Q56" s="318">
        <f>Données!V56</f>
        <v>0</v>
      </c>
      <c r="R56" s="302">
        <f t="shared" si="2"/>
        <v>42435.125</v>
      </c>
      <c r="S56" s="322">
        <f t="shared" si="3"/>
        <v>-94488.982824776846</v>
      </c>
      <c r="T56" s="323">
        <f t="shared" si="8"/>
        <v>-52053.857824776846</v>
      </c>
    </row>
    <row r="57" spans="1:20" x14ac:dyDescent="0.25">
      <c r="A57" s="148">
        <f>Données!A57</f>
        <v>5488</v>
      </c>
      <c r="B57" s="160" t="str">
        <f>Données!B57</f>
        <v>Mauraz</v>
      </c>
      <c r="C57" s="321">
        <f>Données!C57</f>
        <v>67</v>
      </c>
      <c r="D57" s="318">
        <f>RFS!W57</f>
        <v>128794.37935952553</v>
      </c>
      <c r="E57" s="336"/>
      <c r="F57" s="342">
        <f t="shared" si="0"/>
        <v>1922.304169545157</v>
      </c>
      <c r="G57" s="336">
        <f t="shared" si="4"/>
        <v>-1418.1104928776854</v>
      </c>
      <c r="H57" s="343">
        <f t="shared" si="1"/>
        <v>-76010.722418243939</v>
      </c>
      <c r="I57" s="313"/>
      <c r="J57" s="344">
        <f t="shared" si="5"/>
        <v>3056.7925638473052</v>
      </c>
      <c r="K57" s="344">
        <f t="shared" si="6"/>
        <v>0</v>
      </c>
      <c r="L57" s="343">
        <f t="shared" si="7"/>
        <v>0</v>
      </c>
      <c r="M57" s="336"/>
      <c r="N57" s="345">
        <f>Données!S57</f>
        <v>0</v>
      </c>
      <c r="O57" s="345">
        <f>Données!T57</f>
        <v>0</v>
      </c>
      <c r="P57" s="345">
        <f>Données!U57</f>
        <v>0</v>
      </c>
      <c r="Q57" s="318">
        <f>Données!V57</f>
        <v>0</v>
      </c>
      <c r="R57" s="302">
        <f t="shared" si="2"/>
        <v>0</v>
      </c>
      <c r="S57" s="322">
        <f t="shared" si="3"/>
        <v>-13527.268908675316</v>
      </c>
      <c r="T57" s="323">
        <f t="shared" si="8"/>
        <v>-13527.268908675316</v>
      </c>
    </row>
    <row r="58" spans="1:20" x14ac:dyDescent="0.25">
      <c r="A58" s="148">
        <f>Données!A58</f>
        <v>5489</v>
      </c>
      <c r="B58" s="160" t="str">
        <f>Données!B58</f>
        <v>Mex</v>
      </c>
      <c r="C58" s="321">
        <f>Données!C58</f>
        <v>809</v>
      </c>
      <c r="D58" s="318">
        <f>RFS!W58</f>
        <v>4617039.4133745795</v>
      </c>
      <c r="E58" s="336"/>
      <c r="F58" s="342">
        <f t="shared" si="0"/>
        <v>5707.0944541094923</v>
      </c>
      <c r="G58" s="336">
        <f t="shared" si="4"/>
        <v>2366.6797916866499</v>
      </c>
      <c r="H58" s="343">
        <f t="shared" si="1"/>
        <v>1531715.1611795998</v>
      </c>
      <c r="I58" s="313"/>
      <c r="J58" s="344">
        <f t="shared" si="5"/>
        <v>3813.7506207601723</v>
      </c>
      <c r="K58" s="344">
        <f t="shared" si="6"/>
        <v>0</v>
      </c>
      <c r="L58" s="343">
        <f t="shared" si="7"/>
        <v>0</v>
      </c>
      <c r="M58" s="336"/>
      <c r="N58" s="345">
        <f>Données!S58</f>
        <v>23980</v>
      </c>
      <c r="O58" s="345">
        <f>Données!T58</f>
        <v>3111.9</v>
      </c>
      <c r="P58" s="345">
        <f>Données!U58</f>
        <v>43317.15</v>
      </c>
      <c r="Q58" s="318">
        <f>Données!V58</f>
        <v>226939.06</v>
      </c>
      <c r="R58" s="302">
        <f t="shared" si="2"/>
        <v>103286.24299999999</v>
      </c>
      <c r="S58" s="322">
        <f t="shared" si="3"/>
        <v>-163336.72458385568</v>
      </c>
      <c r="T58" s="323">
        <f t="shared" si="8"/>
        <v>-60050.481583855697</v>
      </c>
    </row>
    <row r="59" spans="1:20" x14ac:dyDescent="0.25">
      <c r="A59" s="148">
        <f>Données!A59</f>
        <v>5490</v>
      </c>
      <c r="B59" s="160" t="str">
        <f>Données!B59</f>
        <v>Moiry</v>
      </c>
      <c r="C59" s="321">
        <f>Données!C59</f>
        <v>299</v>
      </c>
      <c r="D59" s="318">
        <f>RFS!W59</f>
        <v>552409.640272027</v>
      </c>
      <c r="E59" s="336"/>
      <c r="F59" s="342">
        <f t="shared" si="0"/>
        <v>1847.5238805084516</v>
      </c>
      <c r="G59" s="336">
        <f t="shared" si="4"/>
        <v>-1492.8907819143908</v>
      </c>
      <c r="H59" s="343">
        <f t="shared" si="1"/>
        <v>-357099.47503392224</v>
      </c>
      <c r="I59" s="313"/>
      <c r="J59" s="344">
        <f t="shared" si="5"/>
        <v>3041.8365060399642</v>
      </c>
      <c r="K59" s="344">
        <f t="shared" si="6"/>
        <v>0</v>
      </c>
      <c r="L59" s="343">
        <f t="shared" si="7"/>
        <v>0</v>
      </c>
      <c r="M59" s="336"/>
      <c r="N59" s="345">
        <f>Données!S59</f>
        <v>28640</v>
      </c>
      <c r="O59" s="345">
        <f>Données!T59</f>
        <v>-4635.8999999999942</v>
      </c>
      <c r="P59" s="345">
        <f>Données!U59</f>
        <v>15995.9</v>
      </c>
      <c r="Q59" s="318">
        <f>Données!V59</f>
        <v>0</v>
      </c>
      <c r="R59" s="302">
        <f t="shared" si="2"/>
        <v>20000.000000000004</v>
      </c>
      <c r="S59" s="322">
        <f t="shared" si="3"/>
        <v>-60367.961249162981</v>
      </c>
      <c r="T59" s="323">
        <f t="shared" si="8"/>
        <v>-40367.961249162981</v>
      </c>
    </row>
    <row r="60" spans="1:20" x14ac:dyDescent="0.25">
      <c r="A60" s="148">
        <f>Données!A60</f>
        <v>5491</v>
      </c>
      <c r="B60" s="160" t="str">
        <f>Données!B60</f>
        <v>Mont-la-Ville</v>
      </c>
      <c r="C60" s="321">
        <f>Données!C60</f>
        <v>495</v>
      </c>
      <c r="D60" s="318">
        <f>RFS!W60</f>
        <v>958895.43592487299</v>
      </c>
      <c r="E60" s="336"/>
      <c r="F60" s="342">
        <f t="shared" si="0"/>
        <v>1937.1624968179253</v>
      </c>
      <c r="G60" s="336">
        <f t="shared" si="4"/>
        <v>-1403.2521656049171</v>
      </c>
      <c r="H60" s="343">
        <f t="shared" si="1"/>
        <v>-555687.85757954721</v>
      </c>
      <c r="I60" s="313"/>
      <c r="J60" s="344">
        <f t="shared" si="5"/>
        <v>3059.7642293018589</v>
      </c>
      <c r="K60" s="344">
        <f t="shared" si="6"/>
        <v>0</v>
      </c>
      <c r="L60" s="343">
        <f t="shared" si="7"/>
        <v>0</v>
      </c>
      <c r="M60" s="336"/>
      <c r="N60" s="345">
        <f>Données!S60</f>
        <v>39930</v>
      </c>
      <c r="O60" s="345">
        <f>Données!T60</f>
        <v>2943.4</v>
      </c>
      <c r="P60" s="345">
        <f>Données!U60</f>
        <v>55933.05</v>
      </c>
      <c r="Q60" s="318">
        <f>Données!V60</f>
        <v>777.55</v>
      </c>
      <c r="R60" s="302">
        <f t="shared" si="2"/>
        <v>49636.490000000005</v>
      </c>
      <c r="S60" s="322">
        <f t="shared" si="3"/>
        <v>-99940.270295437047</v>
      </c>
      <c r="T60" s="323">
        <f t="shared" si="8"/>
        <v>-50303.780295437042</v>
      </c>
    </row>
    <row r="61" spans="1:20" x14ac:dyDescent="0.25">
      <c r="A61" s="148">
        <f>Données!A61</f>
        <v>5492</v>
      </c>
      <c r="B61" s="160" t="str">
        <f>Données!B61</f>
        <v>Montricher</v>
      </c>
      <c r="C61" s="321">
        <f>Données!C61</f>
        <v>943</v>
      </c>
      <c r="D61" s="318">
        <f>RFS!W61</f>
        <v>13355337.034383891</v>
      </c>
      <c r="E61" s="336"/>
      <c r="F61" s="342">
        <f t="shared" si="0"/>
        <v>14162.605550778251</v>
      </c>
      <c r="G61" s="336">
        <f t="shared" si="4"/>
        <v>10822.19088835541</v>
      </c>
      <c r="H61" s="343">
        <f t="shared" si="1"/>
        <v>8164260.8061753213</v>
      </c>
      <c r="I61" s="313"/>
      <c r="J61" s="344">
        <f t="shared" si="5"/>
        <v>5504.8528400939231</v>
      </c>
      <c r="K61" s="344">
        <f t="shared" si="6"/>
        <v>0</v>
      </c>
      <c r="L61" s="343">
        <f t="shared" si="7"/>
        <v>0</v>
      </c>
      <c r="M61" s="336"/>
      <c r="N61" s="345">
        <f>Données!S61</f>
        <v>29712.5</v>
      </c>
      <c r="O61" s="345">
        <f>Données!T61</f>
        <v>218519.29999999981</v>
      </c>
      <c r="P61" s="345">
        <f>Données!U61</f>
        <v>57339.95</v>
      </c>
      <c r="Q61" s="318">
        <f>Données!V61</f>
        <v>5271.85</v>
      </c>
      <c r="R61" s="302">
        <f t="shared" si="2"/>
        <v>154367.42999999991</v>
      </c>
      <c r="S61" s="322">
        <f t="shared" si="3"/>
        <v>-190391.26240120633</v>
      </c>
      <c r="T61" s="323">
        <f t="shared" si="8"/>
        <v>-36023.832401206426</v>
      </c>
    </row>
    <row r="62" spans="1:20" x14ac:dyDescent="0.25">
      <c r="A62" s="148">
        <f>Données!A62</f>
        <v>5493</v>
      </c>
      <c r="B62" s="160" t="str">
        <f>Données!B62</f>
        <v>Orny</v>
      </c>
      <c r="C62" s="321">
        <f>Données!C62</f>
        <v>497</v>
      </c>
      <c r="D62" s="318">
        <f>RFS!W62</f>
        <v>1096173.4588327033</v>
      </c>
      <c r="E62" s="336"/>
      <c r="F62" s="342">
        <f t="shared" si="0"/>
        <v>2205.5804000658013</v>
      </c>
      <c r="G62" s="336">
        <f t="shared" si="4"/>
        <v>-1134.8342623570411</v>
      </c>
      <c r="H62" s="343">
        <f t="shared" si="1"/>
        <v>-451210.10271315958</v>
      </c>
      <c r="I62" s="313"/>
      <c r="J62" s="344">
        <f t="shared" si="5"/>
        <v>3113.4478099514345</v>
      </c>
      <c r="K62" s="344">
        <f t="shared" si="6"/>
        <v>0</v>
      </c>
      <c r="L62" s="343">
        <f t="shared" si="7"/>
        <v>0</v>
      </c>
      <c r="M62" s="336"/>
      <c r="N62" s="345">
        <f>Données!S62</f>
        <v>26061</v>
      </c>
      <c r="O62" s="345">
        <f>Données!T62</f>
        <v>3762.6</v>
      </c>
      <c r="P62" s="345">
        <f>Données!U62</f>
        <v>28236.55</v>
      </c>
      <c r="Q62" s="318">
        <f>Données!V62</f>
        <v>63177.25</v>
      </c>
      <c r="R62" s="302">
        <f t="shared" si="2"/>
        <v>47983.25</v>
      </c>
      <c r="S62" s="322">
        <f t="shared" si="3"/>
        <v>-100344.0693673378</v>
      </c>
      <c r="T62" s="323">
        <f t="shared" si="8"/>
        <v>-52360.819367337797</v>
      </c>
    </row>
    <row r="63" spans="1:20" x14ac:dyDescent="0.25">
      <c r="A63" s="148">
        <f>Données!A63</f>
        <v>5495</v>
      </c>
      <c r="B63" s="160" t="str">
        <f>Données!B63</f>
        <v>Penthalaz</v>
      </c>
      <c r="C63" s="321">
        <f>Données!C63</f>
        <v>3177</v>
      </c>
      <c r="D63" s="318">
        <f>RFS!W63</f>
        <v>6557217.0788918138</v>
      </c>
      <c r="E63" s="336"/>
      <c r="F63" s="342">
        <f t="shared" si="0"/>
        <v>2063.9650862108319</v>
      </c>
      <c r="G63" s="336">
        <f t="shared" si="4"/>
        <v>-1276.4495762120105</v>
      </c>
      <c r="H63" s="343">
        <f t="shared" si="1"/>
        <v>-3244224.2429004461</v>
      </c>
      <c r="I63" s="313"/>
      <c r="J63" s="344">
        <f t="shared" si="5"/>
        <v>3085.1247471804404</v>
      </c>
      <c r="K63" s="344">
        <f t="shared" si="6"/>
        <v>0</v>
      </c>
      <c r="L63" s="343">
        <f t="shared" si="7"/>
        <v>0</v>
      </c>
      <c r="M63" s="336"/>
      <c r="N63" s="345">
        <f>Données!S63</f>
        <v>122587.05</v>
      </c>
      <c r="O63" s="345">
        <f>Données!T63</f>
        <v>69504</v>
      </c>
      <c r="P63" s="345">
        <f>Données!U63</f>
        <v>198222.3</v>
      </c>
      <c r="Q63" s="318">
        <f>Données!V63</f>
        <v>390397.05</v>
      </c>
      <c r="R63" s="302">
        <f t="shared" si="2"/>
        <v>312275.78999999998</v>
      </c>
      <c r="S63" s="322">
        <f t="shared" si="3"/>
        <v>-641434.82571435045</v>
      </c>
      <c r="T63" s="323">
        <f t="shared" si="8"/>
        <v>-329159.03571435047</v>
      </c>
    </row>
    <row r="64" spans="1:20" x14ac:dyDescent="0.25">
      <c r="A64" s="148">
        <f>Données!A64</f>
        <v>5496</v>
      </c>
      <c r="B64" s="160" t="str">
        <f>Données!B64</f>
        <v>Penthaz</v>
      </c>
      <c r="C64" s="321">
        <f>Données!C64</f>
        <v>1946</v>
      </c>
      <c r="D64" s="318">
        <f>RFS!W64</f>
        <v>4294633.4456703858</v>
      </c>
      <c r="E64" s="336"/>
      <c r="F64" s="342">
        <f t="shared" si="0"/>
        <v>2206.9031067165397</v>
      </c>
      <c r="G64" s="336">
        <f t="shared" si="4"/>
        <v>-1133.5115557063027</v>
      </c>
      <c r="H64" s="343">
        <f t="shared" si="1"/>
        <v>-1764650.7899235722</v>
      </c>
      <c r="I64" s="313"/>
      <c r="J64" s="344">
        <f t="shared" si="5"/>
        <v>3113.712351281582</v>
      </c>
      <c r="K64" s="344">
        <f t="shared" si="6"/>
        <v>0</v>
      </c>
      <c r="L64" s="343">
        <f t="shared" si="7"/>
        <v>0</v>
      </c>
      <c r="M64" s="336"/>
      <c r="N64" s="345">
        <f>Données!S64</f>
        <v>75610.100000000006</v>
      </c>
      <c r="O64" s="345">
        <f>Données!T64</f>
        <v>5906.6</v>
      </c>
      <c r="P64" s="345">
        <f>Données!U64</f>
        <v>-1887.3</v>
      </c>
      <c r="Q64" s="318">
        <f>Données!V64</f>
        <v>89105.3</v>
      </c>
      <c r="R64" s="302">
        <f t="shared" si="2"/>
        <v>66546.290000000008</v>
      </c>
      <c r="S64" s="322">
        <f t="shared" si="3"/>
        <v>-392896.49695943535</v>
      </c>
      <c r="T64" s="323">
        <f t="shared" si="8"/>
        <v>-326350.20695943537</v>
      </c>
    </row>
    <row r="65" spans="1:20" x14ac:dyDescent="0.25">
      <c r="A65" s="148">
        <f>Données!A65</f>
        <v>5497</v>
      </c>
      <c r="B65" s="160" t="str">
        <f>Données!B65</f>
        <v>Pompaples</v>
      </c>
      <c r="C65" s="321">
        <f>Données!C65</f>
        <v>930</v>
      </c>
      <c r="D65" s="318">
        <f>RFS!W65</f>
        <v>1971031.6062271034</v>
      </c>
      <c r="E65" s="336"/>
      <c r="F65" s="342">
        <f t="shared" si="0"/>
        <v>2119.3888239001112</v>
      </c>
      <c r="G65" s="336">
        <f t="shared" si="4"/>
        <v>-1221.0258385227312</v>
      </c>
      <c r="H65" s="343">
        <f t="shared" si="1"/>
        <v>-908443.22386091202</v>
      </c>
      <c r="I65" s="313"/>
      <c r="J65" s="344">
        <f t="shared" si="5"/>
        <v>3096.2094947182964</v>
      </c>
      <c r="K65" s="344">
        <f t="shared" si="6"/>
        <v>0</v>
      </c>
      <c r="L65" s="343">
        <f t="shared" si="7"/>
        <v>0</v>
      </c>
      <c r="M65" s="336"/>
      <c r="N65" s="345">
        <f>Données!S65</f>
        <v>36430.35</v>
      </c>
      <c r="O65" s="345">
        <f>Données!T65</f>
        <v>746.7</v>
      </c>
      <c r="P65" s="345">
        <f>Données!U65</f>
        <v>84686.2</v>
      </c>
      <c r="Q65" s="318">
        <f>Données!V65</f>
        <v>246282.7</v>
      </c>
      <c r="R65" s="302">
        <f t="shared" si="2"/>
        <v>134816.435</v>
      </c>
      <c r="S65" s="322">
        <f t="shared" si="3"/>
        <v>-187766.56843385141</v>
      </c>
      <c r="T65" s="323">
        <f t="shared" si="8"/>
        <v>-52950.133433851413</v>
      </c>
    </row>
    <row r="66" spans="1:20" x14ac:dyDescent="0.25">
      <c r="A66" s="148">
        <f>Données!A66</f>
        <v>5498</v>
      </c>
      <c r="B66" s="160" t="str">
        <f>Données!B66</f>
        <v>La Sarraz</v>
      </c>
      <c r="C66" s="321">
        <f>Données!C66</f>
        <v>2618</v>
      </c>
      <c r="D66" s="318">
        <f>RFS!W66</f>
        <v>5188738.4904329516</v>
      </c>
      <c r="E66" s="336"/>
      <c r="F66" s="342">
        <f t="shared" si="0"/>
        <v>1981.9474753372619</v>
      </c>
      <c r="G66" s="336">
        <f t="shared" si="4"/>
        <v>-1358.4671870855805</v>
      </c>
      <c r="H66" s="343">
        <f t="shared" si="1"/>
        <v>-2845173.6766320402</v>
      </c>
      <c r="I66" s="313"/>
      <c r="J66" s="344">
        <f t="shared" si="5"/>
        <v>3068.7212250057264</v>
      </c>
      <c r="K66" s="344">
        <f t="shared" si="6"/>
        <v>0</v>
      </c>
      <c r="L66" s="343">
        <f t="shared" si="7"/>
        <v>0</v>
      </c>
      <c r="M66" s="336"/>
      <c r="N66" s="345">
        <f>Données!S66</f>
        <v>99173.3</v>
      </c>
      <c r="O66" s="345">
        <f>Données!T66</f>
        <v>217661.5</v>
      </c>
      <c r="P66" s="345">
        <f>Données!U66</f>
        <v>115291.15</v>
      </c>
      <c r="Q66" s="318">
        <f>Données!V66</f>
        <v>106740.45</v>
      </c>
      <c r="R66" s="302">
        <f t="shared" si="2"/>
        <v>248085.11</v>
      </c>
      <c r="S66" s="322">
        <f t="shared" si="3"/>
        <v>-528572.98511808924</v>
      </c>
      <c r="T66" s="323">
        <f t="shared" si="8"/>
        <v>-280487.87511808926</v>
      </c>
    </row>
    <row r="67" spans="1:20" x14ac:dyDescent="0.25">
      <c r="A67" s="148">
        <f>Données!A67</f>
        <v>5499</v>
      </c>
      <c r="B67" s="160" t="str">
        <f>Données!B67</f>
        <v>Senarclens</v>
      </c>
      <c r="C67" s="321">
        <f>Données!C67</f>
        <v>480</v>
      </c>
      <c r="D67" s="318">
        <f>RFS!W67</f>
        <v>1428072.4700793973</v>
      </c>
      <c r="E67" s="336"/>
      <c r="F67" s="342">
        <f t="shared" si="0"/>
        <v>2975.1509793320779</v>
      </c>
      <c r="G67" s="336">
        <f t="shared" si="4"/>
        <v>-365.26368309076452</v>
      </c>
      <c r="H67" s="343">
        <f t="shared" si="1"/>
        <v>-140261.25430685357</v>
      </c>
      <c r="I67" s="313"/>
      <c r="J67" s="344">
        <f t="shared" si="5"/>
        <v>3267.3619258046897</v>
      </c>
      <c r="K67" s="344">
        <f t="shared" si="6"/>
        <v>0</v>
      </c>
      <c r="L67" s="343">
        <f t="shared" si="7"/>
        <v>0</v>
      </c>
      <c r="M67" s="336"/>
      <c r="N67" s="345">
        <f>Données!S67</f>
        <v>24157.599999999999</v>
      </c>
      <c r="O67" s="345">
        <f>Données!T67</f>
        <v>5428.2</v>
      </c>
      <c r="P67" s="345">
        <f>Données!U67</f>
        <v>86853.8</v>
      </c>
      <c r="Q67" s="318">
        <f>Données!V67</f>
        <v>24945.95</v>
      </c>
      <c r="R67" s="302">
        <f t="shared" si="2"/>
        <v>65703.585000000006</v>
      </c>
      <c r="S67" s="322">
        <f t="shared" si="3"/>
        <v>-96911.777256181376</v>
      </c>
      <c r="T67" s="323">
        <f t="shared" si="8"/>
        <v>-31208.19225618137</v>
      </c>
    </row>
    <row r="68" spans="1:20" x14ac:dyDescent="0.25">
      <c r="A68" s="148">
        <f>Données!A68</f>
        <v>5501</v>
      </c>
      <c r="B68" s="160" t="str">
        <f>Données!B68</f>
        <v>Sullens</v>
      </c>
      <c r="C68" s="321">
        <f>Données!C68</f>
        <v>1225</v>
      </c>
      <c r="D68" s="318">
        <f>RFS!W68</f>
        <v>3880069.1434685686</v>
      </c>
      <c r="E68" s="336"/>
      <c r="F68" s="342">
        <f t="shared" si="0"/>
        <v>3167.4033824233211</v>
      </c>
      <c r="G68" s="336">
        <f t="shared" si="4"/>
        <v>-173.01127999952132</v>
      </c>
      <c r="H68" s="343">
        <f t="shared" si="1"/>
        <v>-169551.0543995309</v>
      </c>
      <c r="I68" s="313"/>
      <c r="J68" s="344">
        <f t="shared" si="5"/>
        <v>3305.8124064229382</v>
      </c>
      <c r="K68" s="344">
        <f t="shared" si="6"/>
        <v>0</v>
      </c>
      <c r="L68" s="343">
        <f t="shared" si="7"/>
        <v>0</v>
      </c>
      <c r="M68" s="336"/>
      <c r="N68" s="345">
        <f>Données!S68</f>
        <v>300242.5</v>
      </c>
      <c r="O68" s="345">
        <f>Données!T68</f>
        <v>10649.5</v>
      </c>
      <c r="P68" s="345">
        <f>Données!U68</f>
        <v>179433.35</v>
      </c>
      <c r="Q68" s="318">
        <f>Données!V68</f>
        <v>20374.349999999999</v>
      </c>
      <c r="R68" s="302">
        <f t="shared" si="2"/>
        <v>251274.97999999998</v>
      </c>
      <c r="S68" s="322">
        <f t="shared" si="3"/>
        <v>-247326.93153921288</v>
      </c>
      <c r="T68" s="323">
        <f t="shared" si="8"/>
        <v>3948.048460787104</v>
      </c>
    </row>
    <row r="69" spans="1:20" x14ac:dyDescent="0.25">
      <c r="A69" s="148">
        <f>Données!A69</f>
        <v>5503</v>
      </c>
      <c r="B69" s="160" t="str">
        <f>Données!B69</f>
        <v>Vufflens-la-Ville</v>
      </c>
      <c r="C69" s="321">
        <f>Données!C69</f>
        <v>1342</v>
      </c>
      <c r="D69" s="318">
        <f>RFS!W69</f>
        <v>5149081.4387021521</v>
      </c>
      <c r="E69" s="336"/>
      <c r="F69" s="342">
        <f t="shared" si="0"/>
        <v>3836.8714148302179</v>
      </c>
      <c r="G69" s="336">
        <f t="shared" si="4"/>
        <v>496.45675240737546</v>
      </c>
      <c r="H69" s="343">
        <f t="shared" si="1"/>
        <v>532995.96938455827</v>
      </c>
      <c r="I69" s="313"/>
      <c r="J69" s="344">
        <f t="shared" si="5"/>
        <v>3439.7060129043175</v>
      </c>
      <c r="K69" s="344">
        <f t="shared" si="6"/>
        <v>0</v>
      </c>
      <c r="L69" s="343">
        <f t="shared" si="7"/>
        <v>0</v>
      </c>
      <c r="M69" s="336"/>
      <c r="N69" s="345">
        <f>Données!S69</f>
        <v>105869.45</v>
      </c>
      <c r="O69" s="345">
        <f>Données!T69</f>
        <v>41111</v>
      </c>
      <c r="P69" s="345">
        <f>Données!U69</f>
        <v>129882.95000000001</v>
      </c>
      <c r="Q69" s="318">
        <f>Données!V69</f>
        <v>362996.79</v>
      </c>
      <c r="R69" s="302">
        <f t="shared" si="2"/>
        <v>247330.73700000002</v>
      </c>
      <c r="S69" s="322">
        <f t="shared" si="3"/>
        <v>-270949.17724540707</v>
      </c>
      <c r="T69" s="323">
        <f t="shared" si="8"/>
        <v>-23618.440245407051</v>
      </c>
    </row>
    <row r="70" spans="1:20" x14ac:dyDescent="0.25">
      <c r="A70" s="148">
        <f>Données!A70</f>
        <v>5511</v>
      </c>
      <c r="B70" s="160" t="str">
        <f>Données!B70</f>
        <v>Assens</v>
      </c>
      <c r="C70" s="321">
        <f>Données!C70</f>
        <v>1711</v>
      </c>
      <c r="D70" s="318">
        <f>RFS!W70</f>
        <v>4731128.1941945311</v>
      </c>
      <c r="E70" s="336"/>
      <c r="F70" s="342">
        <f t="shared" si="0"/>
        <v>2765.1246021008365</v>
      </c>
      <c r="G70" s="336">
        <f t="shared" si="4"/>
        <v>-575.29006032200596</v>
      </c>
      <c r="H70" s="343">
        <f t="shared" si="1"/>
        <v>-787457.03456876182</v>
      </c>
      <c r="I70" s="313"/>
      <c r="J70" s="344">
        <f t="shared" si="5"/>
        <v>3225.3566503584411</v>
      </c>
      <c r="K70" s="344">
        <f t="shared" si="6"/>
        <v>0</v>
      </c>
      <c r="L70" s="343">
        <f t="shared" si="7"/>
        <v>0</v>
      </c>
      <c r="M70" s="336"/>
      <c r="N70" s="345">
        <f>Données!S70</f>
        <v>290297.45</v>
      </c>
      <c r="O70" s="345">
        <f>Données!T70</f>
        <v>6875.2</v>
      </c>
      <c r="P70" s="345">
        <f>Données!U70</f>
        <v>70071.8</v>
      </c>
      <c r="Q70" s="318">
        <f>Données!V70</f>
        <v>441109.15</v>
      </c>
      <c r="R70" s="302">
        <f t="shared" si="2"/>
        <v>315954.96999999997</v>
      </c>
      <c r="S70" s="322">
        <f t="shared" si="3"/>
        <v>-345450.1060110965</v>
      </c>
      <c r="T70" s="323">
        <f t="shared" si="8"/>
        <v>-29495.136011096532</v>
      </c>
    </row>
    <row r="71" spans="1:20" x14ac:dyDescent="0.25">
      <c r="A71" s="148">
        <f>Données!A71</f>
        <v>5512</v>
      </c>
      <c r="B71" s="160" t="str">
        <f>Données!B71</f>
        <v>Bercher</v>
      </c>
      <c r="C71" s="321">
        <f>Données!C71</f>
        <v>1344</v>
      </c>
      <c r="D71" s="318">
        <f>RFS!W71</f>
        <v>2831846.0493709524</v>
      </c>
      <c r="E71" s="336"/>
      <c r="F71" s="342">
        <f t="shared" si="0"/>
        <v>2107.0283105438634</v>
      </c>
      <c r="G71" s="336">
        <f t="shared" si="4"/>
        <v>-1233.386351878979</v>
      </c>
      <c r="H71" s="343">
        <f t="shared" si="1"/>
        <v>-1326137.0055402783</v>
      </c>
      <c r="I71" s="313"/>
      <c r="J71" s="344">
        <f t="shared" si="5"/>
        <v>3093.7373920470468</v>
      </c>
      <c r="K71" s="344">
        <f t="shared" si="6"/>
        <v>0</v>
      </c>
      <c r="L71" s="343">
        <f t="shared" si="7"/>
        <v>0</v>
      </c>
      <c r="M71" s="336"/>
      <c r="N71" s="345">
        <f>Données!S71</f>
        <v>98447.05</v>
      </c>
      <c r="O71" s="345">
        <f>Données!T71</f>
        <v>82066.8</v>
      </c>
      <c r="P71" s="345">
        <f>Données!U71</f>
        <v>107023.9</v>
      </c>
      <c r="Q71" s="318">
        <f>Données!V71</f>
        <v>120181.85</v>
      </c>
      <c r="R71" s="302">
        <f t="shared" si="2"/>
        <v>179823.43</v>
      </c>
      <c r="S71" s="322">
        <f t="shared" si="3"/>
        <v>-271352.97631730785</v>
      </c>
      <c r="T71" s="323">
        <f t="shared" si="8"/>
        <v>-91529.546317307861</v>
      </c>
    </row>
    <row r="72" spans="1:20" x14ac:dyDescent="0.25">
      <c r="A72" s="148">
        <f>Données!A72</f>
        <v>5514</v>
      </c>
      <c r="B72" s="160" t="str">
        <f>Données!B72</f>
        <v>Bottens</v>
      </c>
      <c r="C72" s="321">
        <f>Données!C72</f>
        <v>1358</v>
      </c>
      <c r="D72" s="318">
        <f>RFS!W72</f>
        <v>3121816.3245476694</v>
      </c>
      <c r="E72" s="336"/>
      <c r="F72" s="342">
        <f t="shared" ref="F72:F135" si="9">D72/C72</f>
        <v>2298.8338177817891</v>
      </c>
      <c r="G72" s="336">
        <f t="shared" si="4"/>
        <v>-1041.5808446410533</v>
      </c>
      <c r="H72" s="343">
        <f t="shared" ref="H72:H135" si="10">G72*$G$6*C72</f>
        <v>-1131573.4296180403</v>
      </c>
      <c r="I72" s="313"/>
      <c r="J72" s="344">
        <f t="shared" si="5"/>
        <v>3132.0984934946318</v>
      </c>
      <c r="K72" s="344">
        <f t="shared" si="6"/>
        <v>0</v>
      </c>
      <c r="L72" s="343">
        <f t="shared" si="7"/>
        <v>0</v>
      </c>
      <c r="M72" s="336"/>
      <c r="N72" s="345">
        <f>Données!S72</f>
        <v>108325.4</v>
      </c>
      <c r="O72" s="345">
        <f>Données!T72</f>
        <v>6810.3</v>
      </c>
      <c r="P72" s="345">
        <f>Données!U72</f>
        <v>106327.65</v>
      </c>
      <c r="Q72" s="318">
        <f>Données!V72</f>
        <v>16360.7</v>
      </c>
      <c r="R72" s="302">
        <f t="shared" ref="R72:R135" si="11">SUMPRODUCT($N$6:$Q$6,N72:Q72)</f>
        <v>115639.88499999999</v>
      </c>
      <c r="S72" s="322">
        <f t="shared" ref="S72:S135" si="12">-($R$308-$S$6)/$C$308*C72</f>
        <v>-274179.56982061313</v>
      </c>
      <c r="T72" s="323">
        <f t="shared" si="8"/>
        <v>-158539.68482061313</v>
      </c>
    </row>
    <row r="73" spans="1:20" x14ac:dyDescent="0.25">
      <c r="A73" s="148">
        <f>Données!A73</f>
        <v>5515</v>
      </c>
      <c r="B73" s="160" t="str">
        <f>Données!B73</f>
        <v>Bretigny-sur-Morrens</v>
      </c>
      <c r="C73" s="321">
        <f>Données!C73</f>
        <v>898</v>
      </c>
      <c r="D73" s="318">
        <f>RFS!W73</f>
        <v>2196989.2123772618</v>
      </c>
      <c r="E73" s="336"/>
      <c r="F73" s="342">
        <f t="shared" si="9"/>
        <v>2446.5358712441666</v>
      </c>
      <c r="G73" s="336">
        <f t="shared" ref="G73:G136" si="13">F73-$F$308</f>
        <v>-893.87879117867578</v>
      </c>
      <c r="H73" s="343">
        <f t="shared" si="10"/>
        <v>-642162.52358276071</v>
      </c>
      <c r="I73" s="313"/>
      <c r="J73" s="344">
        <f t="shared" ref="J73:J136" si="14">F73-H73/C73</f>
        <v>3161.6389041871071</v>
      </c>
      <c r="K73" s="344">
        <f t="shared" ref="K73:K136" si="15">IF(J73&lt;$K$6,J73-($K$6),0)</f>
        <v>0</v>
      </c>
      <c r="L73" s="343">
        <f t="shared" ref="L73:L136" si="16">ROUND(K73*C73,0)</f>
        <v>0</v>
      </c>
      <c r="M73" s="336"/>
      <c r="N73" s="345">
        <f>Données!S73</f>
        <v>37028.75</v>
      </c>
      <c r="O73" s="345">
        <f>Données!T73</f>
        <v>0</v>
      </c>
      <c r="P73" s="345">
        <f>Données!U73</f>
        <v>46643.85</v>
      </c>
      <c r="Q73" s="318">
        <f>Données!V73</f>
        <v>23609.3</v>
      </c>
      <c r="R73" s="302">
        <f t="shared" si="11"/>
        <v>48919.090000000004</v>
      </c>
      <c r="S73" s="322">
        <f t="shared" si="12"/>
        <v>-181305.78328343932</v>
      </c>
      <c r="T73" s="323">
        <f t="shared" ref="T73:T136" si="17">R73+S73</f>
        <v>-132386.69328343932</v>
      </c>
    </row>
    <row r="74" spans="1:20" x14ac:dyDescent="0.25">
      <c r="A74" s="148">
        <f>Données!A74</f>
        <v>5516</v>
      </c>
      <c r="B74" s="160" t="str">
        <f>Données!B74</f>
        <v>Cugy</v>
      </c>
      <c r="C74" s="321">
        <f>Données!C74</f>
        <v>2790</v>
      </c>
      <c r="D74" s="318">
        <f>RFS!W74</f>
        <v>7649776.1068287771</v>
      </c>
      <c r="E74" s="336"/>
      <c r="F74" s="342">
        <f t="shared" si="9"/>
        <v>2741.8552354225008</v>
      </c>
      <c r="G74" s="336">
        <f t="shared" si="13"/>
        <v>-598.55942700034166</v>
      </c>
      <c r="H74" s="343">
        <f t="shared" si="10"/>
        <v>-1335984.6410647626</v>
      </c>
      <c r="I74" s="313"/>
      <c r="J74" s="344">
        <f t="shared" si="14"/>
        <v>3220.7027770227742</v>
      </c>
      <c r="K74" s="344">
        <f t="shared" si="15"/>
        <v>0</v>
      </c>
      <c r="L74" s="343">
        <f t="shared" si="16"/>
        <v>0</v>
      </c>
      <c r="M74" s="336"/>
      <c r="N74" s="345">
        <f>Données!S74</f>
        <v>353385.95</v>
      </c>
      <c r="O74" s="345">
        <f>Données!T74</f>
        <v>3309.4</v>
      </c>
      <c r="P74" s="345">
        <f>Données!U74</f>
        <v>257807.65</v>
      </c>
      <c r="Q74" s="318">
        <f>Données!V74</f>
        <v>108883.05</v>
      </c>
      <c r="R74" s="302">
        <f t="shared" si="11"/>
        <v>339916.41499999998</v>
      </c>
      <c r="S74" s="322">
        <f t="shared" si="12"/>
        <v>-563299.70530155429</v>
      </c>
      <c r="T74" s="323">
        <f t="shared" si="17"/>
        <v>-223383.29030155431</v>
      </c>
    </row>
    <row r="75" spans="1:20" x14ac:dyDescent="0.25">
      <c r="A75" s="148">
        <f>Données!A75</f>
        <v>5518</v>
      </c>
      <c r="B75" s="160" t="str">
        <f>Données!B75</f>
        <v>Echallens</v>
      </c>
      <c r="C75" s="321">
        <f>Données!C75</f>
        <v>6722</v>
      </c>
      <c r="D75" s="318">
        <f>RFS!W75</f>
        <v>14747131.096298082</v>
      </c>
      <c r="E75" s="336"/>
      <c r="F75" s="342">
        <f t="shared" si="9"/>
        <v>2193.8606212880218</v>
      </c>
      <c r="G75" s="336">
        <f t="shared" si="13"/>
        <v>-1146.5540411348206</v>
      </c>
      <c r="H75" s="343">
        <f t="shared" si="10"/>
        <v>-6165709.0116066113</v>
      </c>
      <c r="I75" s="313"/>
      <c r="J75" s="344">
        <f t="shared" si="14"/>
        <v>3111.1038541958783</v>
      </c>
      <c r="K75" s="344">
        <f t="shared" si="15"/>
        <v>0</v>
      </c>
      <c r="L75" s="343">
        <f t="shared" si="16"/>
        <v>0</v>
      </c>
      <c r="M75" s="336"/>
      <c r="N75" s="345">
        <f>Données!S75</f>
        <v>579539.85</v>
      </c>
      <c r="O75" s="345">
        <f>Données!T75</f>
        <v>144426.29999999999</v>
      </c>
      <c r="P75" s="345">
        <f>Données!U75</f>
        <v>436143.85</v>
      </c>
      <c r="Q75" s="318">
        <f>Données!V75</f>
        <v>261688.55</v>
      </c>
      <c r="R75" s="302">
        <f t="shared" si="11"/>
        <v>658561.56499999994</v>
      </c>
      <c r="S75" s="322">
        <f t="shared" si="12"/>
        <v>-1357168.6806584401</v>
      </c>
      <c r="T75" s="323">
        <f t="shared" si="17"/>
        <v>-698607.11565844016</v>
      </c>
    </row>
    <row r="76" spans="1:20" x14ac:dyDescent="0.25">
      <c r="A76" s="148">
        <f>Données!A76</f>
        <v>5520</v>
      </c>
      <c r="B76" s="160" t="str">
        <f>Données!B76</f>
        <v>Essertines-sur-Yverdon</v>
      </c>
      <c r="C76" s="321">
        <f>Données!C76</f>
        <v>1148</v>
      </c>
      <c r="D76" s="318">
        <f>RFS!W76</f>
        <v>2406679.2102243965</v>
      </c>
      <c r="E76" s="336"/>
      <c r="F76" s="342">
        <f t="shared" si="9"/>
        <v>2096.4104618679412</v>
      </c>
      <c r="G76" s="336">
        <f t="shared" si="13"/>
        <v>-1244.0042005549012</v>
      </c>
      <c r="H76" s="343">
        <f t="shared" si="10"/>
        <v>-1142493.4577896213</v>
      </c>
      <c r="I76" s="313"/>
      <c r="J76" s="344">
        <f t="shared" si="14"/>
        <v>3091.6138223118624</v>
      </c>
      <c r="K76" s="344">
        <f t="shared" si="15"/>
        <v>0</v>
      </c>
      <c r="L76" s="343">
        <f t="shared" si="16"/>
        <v>0</v>
      </c>
      <c r="M76" s="336"/>
      <c r="N76" s="345">
        <f>Données!S76</f>
        <v>116742.3</v>
      </c>
      <c r="O76" s="345">
        <f>Données!T76</f>
        <v>24093.8</v>
      </c>
      <c r="P76" s="345">
        <f>Données!U76</f>
        <v>33772.6</v>
      </c>
      <c r="Q76" s="318">
        <f>Données!V76</f>
        <v>19146</v>
      </c>
      <c r="R76" s="302">
        <f t="shared" si="11"/>
        <v>93048.150000000009</v>
      </c>
      <c r="S76" s="322">
        <f t="shared" si="12"/>
        <v>-231780.6672710338</v>
      </c>
      <c r="T76" s="323">
        <f t="shared" si="17"/>
        <v>-138732.51727103378</v>
      </c>
    </row>
    <row r="77" spans="1:20" x14ac:dyDescent="0.25">
      <c r="A77" s="148">
        <f>Données!A77</f>
        <v>5521</v>
      </c>
      <c r="B77" s="160" t="str">
        <f>Données!B77</f>
        <v>Etagnières</v>
      </c>
      <c r="C77" s="321">
        <f>Données!C77</f>
        <v>1189</v>
      </c>
      <c r="D77" s="318">
        <f>RFS!W77</f>
        <v>3193829.8829626204</v>
      </c>
      <c r="E77" s="336"/>
      <c r="F77" s="342">
        <f t="shared" si="9"/>
        <v>2686.1479251157448</v>
      </c>
      <c r="G77" s="336">
        <f t="shared" si="13"/>
        <v>-654.26673730709763</v>
      </c>
      <c r="H77" s="343">
        <f t="shared" si="10"/>
        <v>-622338.52052651125</v>
      </c>
      <c r="I77" s="313"/>
      <c r="J77" s="344">
        <f t="shared" si="14"/>
        <v>3209.5613149614228</v>
      </c>
      <c r="K77" s="344">
        <f t="shared" si="15"/>
        <v>0</v>
      </c>
      <c r="L77" s="343">
        <f t="shared" si="16"/>
        <v>0</v>
      </c>
      <c r="M77" s="336"/>
      <c r="N77" s="345">
        <f>Données!S77</f>
        <v>240707.5</v>
      </c>
      <c r="O77" s="345">
        <f>Données!T77</f>
        <v>75174</v>
      </c>
      <c r="P77" s="345">
        <f>Données!U77</f>
        <v>191034.9</v>
      </c>
      <c r="Q77" s="318">
        <f>Données!V77</f>
        <v>111700.8</v>
      </c>
      <c r="R77" s="302">
        <f t="shared" si="11"/>
        <v>286968.44</v>
      </c>
      <c r="S77" s="322">
        <f t="shared" si="12"/>
        <v>-240058.54824499929</v>
      </c>
      <c r="T77" s="323">
        <f t="shared" si="17"/>
        <v>46909.891755000717</v>
      </c>
    </row>
    <row r="78" spans="1:20" x14ac:dyDescent="0.25">
      <c r="A78" s="148">
        <f>Données!A78</f>
        <v>5522</v>
      </c>
      <c r="B78" s="160" t="str">
        <f>Données!B78</f>
        <v>Fey</v>
      </c>
      <c r="C78" s="321">
        <f>Données!C78</f>
        <v>789</v>
      </c>
      <c r="D78" s="318">
        <f>RFS!W78</f>
        <v>1716541.3570722626</v>
      </c>
      <c r="E78" s="336"/>
      <c r="F78" s="342">
        <f t="shared" si="9"/>
        <v>2175.5910736023607</v>
      </c>
      <c r="G78" s="336">
        <f t="shared" si="13"/>
        <v>-1164.8235888204817</v>
      </c>
      <c r="H78" s="343">
        <f t="shared" si="10"/>
        <v>-735236.64926348813</v>
      </c>
      <c r="I78" s="313"/>
      <c r="J78" s="344">
        <f t="shared" si="14"/>
        <v>3107.4499446587461</v>
      </c>
      <c r="K78" s="344">
        <f t="shared" si="15"/>
        <v>0</v>
      </c>
      <c r="L78" s="343">
        <f t="shared" si="16"/>
        <v>0</v>
      </c>
      <c r="M78" s="336"/>
      <c r="N78" s="345">
        <f>Données!S78</f>
        <v>54764.15</v>
      </c>
      <c r="O78" s="345">
        <f>Données!T78</f>
        <v>2201.3000000000002</v>
      </c>
      <c r="P78" s="345">
        <f>Données!U78</f>
        <v>51832.800000000003</v>
      </c>
      <c r="Q78" s="318">
        <f>Données!V78</f>
        <v>38593.75</v>
      </c>
      <c r="R78" s="302">
        <f t="shared" si="11"/>
        <v>65977.25</v>
      </c>
      <c r="S78" s="322">
        <f t="shared" si="12"/>
        <v>-159298.73386484812</v>
      </c>
      <c r="T78" s="323">
        <f t="shared" si="17"/>
        <v>-93321.483864848124</v>
      </c>
    </row>
    <row r="79" spans="1:20" x14ac:dyDescent="0.25">
      <c r="A79" s="148">
        <f>Données!A79</f>
        <v>5523</v>
      </c>
      <c r="B79" s="160" t="str">
        <f>Données!B79</f>
        <v>Froideville</v>
      </c>
      <c r="C79" s="321">
        <f>Données!C79</f>
        <v>2731</v>
      </c>
      <c r="D79" s="318">
        <f>RFS!W79</f>
        <v>6042837.385921889</v>
      </c>
      <c r="E79" s="336"/>
      <c r="F79" s="342">
        <f t="shared" si="9"/>
        <v>2212.6830413481835</v>
      </c>
      <c r="G79" s="336">
        <f t="shared" si="13"/>
        <v>-1127.731621074659</v>
      </c>
      <c r="H79" s="343">
        <f t="shared" si="10"/>
        <v>-2463868.0457239151</v>
      </c>
      <c r="I79" s="313"/>
      <c r="J79" s="344">
        <f t="shared" si="14"/>
        <v>3114.8683382079107</v>
      </c>
      <c r="K79" s="344">
        <f t="shared" si="15"/>
        <v>0</v>
      </c>
      <c r="L79" s="343">
        <f t="shared" si="16"/>
        <v>0</v>
      </c>
      <c r="M79" s="336"/>
      <c r="N79" s="345">
        <f>Données!S79</f>
        <v>142818</v>
      </c>
      <c r="O79" s="345">
        <f>Données!T79</f>
        <v>0</v>
      </c>
      <c r="P79" s="345">
        <f>Données!U79</f>
        <v>11588.5</v>
      </c>
      <c r="Q79" s="318">
        <f>Données!V79</f>
        <v>5631.65</v>
      </c>
      <c r="R79" s="302">
        <f t="shared" si="11"/>
        <v>78892.744999999995</v>
      </c>
      <c r="S79" s="322">
        <f t="shared" si="12"/>
        <v>-551387.632680482</v>
      </c>
      <c r="T79" s="323">
        <f t="shared" si="17"/>
        <v>-472494.887680482</v>
      </c>
    </row>
    <row r="80" spans="1:20" x14ac:dyDescent="0.25">
      <c r="A80" s="148">
        <f>Données!A80</f>
        <v>5527</v>
      </c>
      <c r="B80" s="160" t="str">
        <f>Données!B80</f>
        <v>Morrens</v>
      </c>
      <c r="C80" s="321">
        <f>Données!C80</f>
        <v>1153</v>
      </c>
      <c r="D80" s="318">
        <f>RFS!W80</f>
        <v>2900903.6663180594</v>
      </c>
      <c r="E80" s="336"/>
      <c r="F80" s="342">
        <f t="shared" si="9"/>
        <v>2515.9615492784555</v>
      </c>
      <c r="G80" s="336">
        <f t="shared" si="13"/>
        <v>-824.45311314438686</v>
      </c>
      <c r="H80" s="343">
        <f t="shared" si="10"/>
        <v>-760475.55156438251</v>
      </c>
      <c r="I80" s="313"/>
      <c r="J80" s="344">
        <f t="shared" si="14"/>
        <v>3175.5240397939651</v>
      </c>
      <c r="K80" s="344">
        <f t="shared" si="15"/>
        <v>0</v>
      </c>
      <c r="L80" s="343">
        <f t="shared" si="16"/>
        <v>0</v>
      </c>
      <c r="M80" s="336"/>
      <c r="N80" s="345">
        <f>Données!S80</f>
        <v>129225.9</v>
      </c>
      <c r="O80" s="345">
        <f>Données!T80</f>
        <v>0</v>
      </c>
      <c r="P80" s="345">
        <f>Données!U80</f>
        <v>132251.70000000001</v>
      </c>
      <c r="Q80" s="318">
        <f>Données!V80</f>
        <v>6014.2</v>
      </c>
      <c r="R80" s="302">
        <f t="shared" si="11"/>
        <v>132543.06</v>
      </c>
      <c r="S80" s="322">
        <f t="shared" si="12"/>
        <v>-232790.16495078569</v>
      </c>
      <c r="T80" s="323">
        <f t="shared" si="17"/>
        <v>-100247.1049507857</v>
      </c>
    </row>
    <row r="81" spans="1:20" x14ac:dyDescent="0.25">
      <c r="A81" s="148">
        <f>Données!A81</f>
        <v>5529</v>
      </c>
      <c r="B81" s="160" t="str">
        <f>Données!B81</f>
        <v>Oulens-sous-Echallens</v>
      </c>
      <c r="C81" s="321">
        <f>Données!C81</f>
        <v>607</v>
      </c>
      <c r="D81" s="318">
        <f>RFS!W81</f>
        <v>1445938.5493504561</v>
      </c>
      <c r="E81" s="336"/>
      <c r="F81" s="342">
        <f t="shared" si="9"/>
        <v>2382.1063415987746</v>
      </c>
      <c r="G81" s="336">
        <f t="shared" si="13"/>
        <v>-958.30832082406778</v>
      </c>
      <c r="H81" s="343">
        <f t="shared" si="10"/>
        <v>-465354.52059216733</v>
      </c>
      <c r="I81" s="313"/>
      <c r="J81" s="344">
        <f t="shared" si="14"/>
        <v>3148.752998258029</v>
      </c>
      <c r="K81" s="344">
        <f t="shared" si="15"/>
        <v>0</v>
      </c>
      <c r="L81" s="343">
        <f t="shared" si="16"/>
        <v>0</v>
      </c>
      <c r="M81" s="336"/>
      <c r="N81" s="345">
        <f>Données!S81</f>
        <v>70523.75</v>
      </c>
      <c r="O81" s="345">
        <f>Données!T81</f>
        <v>17146.5</v>
      </c>
      <c r="P81" s="345">
        <f>Données!U81</f>
        <v>57747.6</v>
      </c>
      <c r="Q81" s="318">
        <f>Données!V81</f>
        <v>5452.15</v>
      </c>
      <c r="R81" s="302">
        <f t="shared" si="11"/>
        <v>74344.570000000007</v>
      </c>
      <c r="S81" s="322">
        <f t="shared" si="12"/>
        <v>-122553.01832187937</v>
      </c>
      <c r="T81" s="323">
        <f t="shared" si="17"/>
        <v>-48208.448321879361</v>
      </c>
    </row>
    <row r="82" spans="1:20" x14ac:dyDescent="0.25">
      <c r="A82" s="148">
        <f>Données!A82</f>
        <v>5530</v>
      </c>
      <c r="B82" s="160" t="str">
        <f>Données!B82</f>
        <v>Pailly</v>
      </c>
      <c r="C82" s="321">
        <f>Données!C82</f>
        <v>576</v>
      </c>
      <c r="D82" s="318">
        <f>RFS!W82</f>
        <v>1295127.2985585956</v>
      </c>
      <c r="E82" s="336"/>
      <c r="F82" s="342">
        <f t="shared" si="9"/>
        <v>2248.4848933308949</v>
      </c>
      <c r="G82" s="336">
        <f t="shared" si="13"/>
        <v>-1091.9297690919475</v>
      </c>
      <c r="H82" s="343">
        <f t="shared" si="10"/>
        <v>-503161.23759756942</v>
      </c>
      <c r="I82" s="313"/>
      <c r="J82" s="344">
        <f t="shared" si="14"/>
        <v>3122.0287086044527</v>
      </c>
      <c r="K82" s="344">
        <f t="shared" si="15"/>
        <v>0</v>
      </c>
      <c r="L82" s="343">
        <f t="shared" si="16"/>
        <v>0</v>
      </c>
      <c r="M82" s="336"/>
      <c r="N82" s="345">
        <f>Données!S82</f>
        <v>48806.05</v>
      </c>
      <c r="O82" s="345">
        <f>Données!T82</f>
        <v>35969</v>
      </c>
      <c r="P82" s="345">
        <f>Données!U82</f>
        <v>19853.8</v>
      </c>
      <c r="Q82" s="318">
        <f>Données!V82</f>
        <v>15216.85</v>
      </c>
      <c r="R82" s="302">
        <f t="shared" si="11"/>
        <v>56879.48</v>
      </c>
      <c r="S82" s="322">
        <f t="shared" si="12"/>
        <v>-116294.13270741765</v>
      </c>
      <c r="T82" s="323">
        <f t="shared" si="17"/>
        <v>-59414.652707417648</v>
      </c>
    </row>
    <row r="83" spans="1:20" x14ac:dyDescent="0.25">
      <c r="A83" s="148">
        <f>Données!A83</f>
        <v>5531</v>
      </c>
      <c r="B83" s="160" t="str">
        <f>Données!B83</f>
        <v>Penthéréaz</v>
      </c>
      <c r="C83" s="321">
        <f>Données!C83</f>
        <v>430</v>
      </c>
      <c r="D83" s="318">
        <f>RFS!W83</f>
        <v>1156385.6709793906</v>
      </c>
      <c r="E83" s="336"/>
      <c r="F83" s="342">
        <f t="shared" si="9"/>
        <v>2689.2690022776528</v>
      </c>
      <c r="G83" s="336">
        <f t="shared" si="13"/>
        <v>-651.14566014518959</v>
      </c>
      <c r="H83" s="343">
        <f t="shared" si="10"/>
        <v>-223994.1070899452</v>
      </c>
      <c r="I83" s="313"/>
      <c r="J83" s="344">
        <f t="shared" si="14"/>
        <v>3210.1855303938046</v>
      </c>
      <c r="K83" s="344">
        <f t="shared" si="15"/>
        <v>0</v>
      </c>
      <c r="L83" s="343">
        <f t="shared" si="16"/>
        <v>0</v>
      </c>
      <c r="M83" s="336"/>
      <c r="N83" s="345">
        <f>Données!S83</f>
        <v>58166.3</v>
      </c>
      <c r="O83" s="345">
        <f>Données!T83</f>
        <v>0</v>
      </c>
      <c r="P83" s="345">
        <f>Données!U83</f>
        <v>-2609.6</v>
      </c>
      <c r="Q83" s="318">
        <f>Données!V83</f>
        <v>16766.75</v>
      </c>
      <c r="R83" s="302">
        <f t="shared" si="11"/>
        <v>32808.375</v>
      </c>
      <c r="S83" s="322">
        <f t="shared" si="12"/>
        <v>-86816.800458662488</v>
      </c>
      <c r="T83" s="323">
        <f t="shared" si="17"/>
        <v>-54008.425458662488</v>
      </c>
    </row>
    <row r="84" spans="1:20" x14ac:dyDescent="0.25">
      <c r="A84" s="148">
        <f>Données!A84</f>
        <v>5533</v>
      </c>
      <c r="B84" s="160" t="str">
        <f>Données!B84</f>
        <v>Poliez-Pittet</v>
      </c>
      <c r="C84" s="321">
        <f>Données!C84</f>
        <v>850</v>
      </c>
      <c r="D84" s="318">
        <f>RFS!W84</f>
        <v>1863727.825243467</v>
      </c>
      <c r="E84" s="336"/>
      <c r="F84" s="342">
        <f t="shared" si="9"/>
        <v>2192.6209708746669</v>
      </c>
      <c r="G84" s="336">
        <f t="shared" si="13"/>
        <v>-1147.7936915481755</v>
      </c>
      <c r="H84" s="343">
        <f t="shared" si="10"/>
        <v>-780499.7102527594</v>
      </c>
      <c r="I84" s="313"/>
      <c r="J84" s="344">
        <f t="shared" si="14"/>
        <v>3110.8559241132075</v>
      </c>
      <c r="K84" s="344">
        <f t="shared" si="15"/>
        <v>0</v>
      </c>
      <c r="L84" s="343">
        <f t="shared" si="16"/>
        <v>0</v>
      </c>
      <c r="M84" s="336"/>
      <c r="N84" s="345">
        <f>Données!S84</f>
        <v>42926.400000000001</v>
      </c>
      <c r="O84" s="345">
        <f>Données!T84</f>
        <v>154440</v>
      </c>
      <c r="P84" s="345">
        <f>Données!U84</f>
        <v>28784.1</v>
      </c>
      <c r="Q84" s="318">
        <f>Données!V84</f>
        <v>11388.8</v>
      </c>
      <c r="R84" s="302">
        <f t="shared" si="11"/>
        <v>116491.89</v>
      </c>
      <c r="S84" s="322">
        <f t="shared" si="12"/>
        <v>-171614.6055578212</v>
      </c>
      <c r="T84" s="323">
        <f t="shared" si="17"/>
        <v>-55122.715557821197</v>
      </c>
    </row>
    <row r="85" spans="1:20" x14ac:dyDescent="0.25">
      <c r="A85" s="148">
        <f>Données!A85</f>
        <v>5534</v>
      </c>
      <c r="B85" s="160" t="str">
        <f>Données!B85</f>
        <v>Rueyres</v>
      </c>
      <c r="C85" s="321">
        <f>Données!C85</f>
        <v>304</v>
      </c>
      <c r="D85" s="318">
        <f>RFS!W85</f>
        <v>1219914.3617899199</v>
      </c>
      <c r="E85" s="336"/>
      <c r="F85" s="342">
        <f t="shared" si="9"/>
        <v>4012.8761900984209</v>
      </c>
      <c r="G85" s="336">
        <f t="shared" si="13"/>
        <v>672.46152767557851</v>
      </c>
      <c r="H85" s="343">
        <f t="shared" si="10"/>
        <v>163542.64353070071</v>
      </c>
      <c r="I85" s="313"/>
      <c r="J85" s="344">
        <f t="shared" si="14"/>
        <v>3474.9069679579579</v>
      </c>
      <c r="K85" s="344">
        <f t="shared" si="15"/>
        <v>0</v>
      </c>
      <c r="L85" s="343">
        <f t="shared" si="16"/>
        <v>0</v>
      </c>
      <c r="M85" s="336"/>
      <c r="N85" s="345">
        <f>Données!S85</f>
        <v>35078</v>
      </c>
      <c r="O85" s="345">
        <f>Données!T85</f>
        <v>6</v>
      </c>
      <c r="P85" s="345">
        <f>Données!U85</f>
        <v>38776.800000000003</v>
      </c>
      <c r="Q85" s="318">
        <f>Données!V85</f>
        <v>25302.05</v>
      </c>
      <c r="R85" s="302">
        <f t="shared" si="11"/>
        <v>44521.014999999999</v>
      </c>
      <c r="S85" s="322">
        <f t="shared" si="12"/>
        <v>-61377.458928914872</v>
      </c>
      <c r="T85" s="323">
        <f t="shared" si="17"/>
        <v>-16856.443928914872</v>
      </c>
    </row>
    <row r="86" spans="1:20" x14ac:dyDescent="0.25">
      <c r="A86" s="148">
        <f>Données!A86</f>
        <v>5535</v>
      </c>
      <c r="B86" s="160" t="str">
        <f>Données!B86</f>
        <v>Saint-Barthélemy</v>
      </c>
      <c r="C86" s="321">
        <f>Données!C86</f>
        <v>837</v>
      </c>
      <c r="D86" s="318">
        <f>RFS!W86</f>
        <v>1806192.6635418558</v>
      </c>
      <c r="E86" s="336"/>
      <c r="F86" s="342">
        <f t="shared" si="9"/>
        <v>2157.9362766330414</v>
      </c>
      <c r="G86" s="336">
        <f t="shared" si="13"/>
        <v>-1182.478385789801</v>
      </c>
      <c r="H86" s="343">
        <f t="shared" si="10"/>
        <v>-791787.52712485078</v>
      </c>
      <c r="I86" s="313"/>
      <c r="J86" s="344">
        <f t="shared" si="14"/>
        <v>3103.9189852648824</v>
      </c>
      <c r="K86" s="344">
        <f t="shared" si="15"/>
        <v>0</v>
      </c>
      <c r="L86" s="343">
        <f t="shared" si="16"/>
        <v>0</v>
      </c>
      <c r="M86" s="336"/>
      <c r="N86" s="345">
        <f>Données!S86</f>
        <v>59115.95</v>
      </c>
      <c r="O86" s="345">
        <f>Données!T86</f>
        <v>0</v>
      </c>
      <c r="P86" s="345">
        <f>Données!U86</f>
        <v>67177.75</v>
      </c>
      <c r="Q86" s="318">
        <f>Données!V86</f>
        <v>69730.95</v>
      </c>
      <c r="R86" s="302">
        <f t="shared" si="11"/>
        <v>84066.134999999995</v>
      </c>
      <c r="S86" s="322">
        <f t="shared" si="12"/>
        <v>-168989.91159046628</v>
      </c>
      <c r="T86" s="323">
        <f t="shared" si="17"/>
        <v>-84923.776590466281</v>
      </c>
    </row>
    <row r="87" spans="1:20" x14ac:dyDescent="0.25">
      <c r="A87" s="148">
        <f>Données!A87</f>
        <v>5537</v>
      </c>
      <c r="B87" s="160" t="str">
        <f>Données!B87</f>
        <v>Villars-le-Terroir</v>
      </c>
      <c r="C87" s="321">
        <f>Données!C87</f>
        <v>1307</v>
      </c>
      <c r="D87" s="318">
        <f>RFS!W87</f>
        <v>2513491.3874722733</v>
      </c>
      <c r="E87" s="336"/>
      <c r="F87" s="342">
        <f t="shared" si="9"/>
        <v>1923.0997608816169</v>
      </c>
      <c r="G87" s="336">
        <f t="shared" si="13"/>
        <v>-1417.3149015412255</v>
      </c>
      <c r="H87" s="343">
        <f t="shared" si="10"/>
        <v>-1481944.4610515055</v>
      </c>
      <c r="I87" s="313"/>
      <c r="J87" s="344">
        <f t="shared" si="14"/>
        <v>3056.9516821145971</v>
      </c>
      <c r="K87" s="344">
        <f t="shared" si="15"/>
        <v>0</v>
      </c>
      <c r="L87" s="343">
        <f t="shared" si="16"/>
        <v>0</v>
      </c>
      <c r="M87" s="336"/>
      <c r="N87" s="345">
        <f>Données!S87</f>
        <v>74631.850000000006</v>
      </c>
      <c r="O87" s="345">
        <f>Données!T87</f>
        <v>49620.9</v>
      </c>
      <c r="P87" s="345">
        <f>Données!U87</f>
        <v>53441.9</v>
      </c>
      <c r="Q87" s="318">
        <f>Données!V87</f>
        <v>13831.85</v>
      </c>
      <c r="R87" s="302">
        <f t="shared" si="11"/>
        <v>92996.88</v>
      </c>
      <c r="S87" s="322">
        <f t="shared" si="12"/>
        <v>-263882.6934871439</v>
      </c>
      <c r="T87" s="323">
        <f t="shared" si="17"/>
        <v>-170885.8134871439</v>
      </c>
    </row>
    <row r="88" spans="1:20" x14ac:dyDescent="0.25">
      <c r="A88" s="148">
        <f>Données!A88</f>
        <v>5539</v>
      </c>
      <c r="B88" s="160" t="str">
        <f>Données!B88</f>
        <v>Vuarrens</v>
      </c>
      <c r="C88" s="321">
        <f>Données!C88</f>
        <v>1120</v>
      </c>
      <c r="D88" s="318">
        <f>RFS!W88</f>
        <v>2376974.2179724514</v>
      </c>
      <c r="E88" s="336"/>
      <c r="F88" s="342">
        <f t="shared" si="9"/>
        <v>2122.2984089039746</v>
      </c>
      <c r="G88" s="336">
        <f t="shared" si="13"/>
        <v>-1218.1162535188678</v>
      </c>
      <c r="H88" s="343">
        <f t="shared" si="10"/>
        <v>-1091432.1631529056</v>
      </c>
      <c r="I88" s="313"/>
      <c r="J88" s="344">
        <f t="shared" si="14"/>
        <v>3096.7914117190689</v>
      </c>
      <c r="K88" s="344">
        <f t="shared" si="15"/>
        <v>0</v>
      </c>
      <c r="L88" s="343">
        <f t="shared" si="16"/>
        <v>0</v>
      </c>
      <c r="M88" s="336"/>
      <c r="N88" s="345">
        <f>Données!S88</f>
        <v>127830.5</v>
      </c>
      <c r="O88" s="345">
        <f>Données!T88</f>
        <v>85198.9</v>
      </c>
      <c r="P88" s="345">
        <f>Données!U88</f>
        <v>59700.4</v>
      </c>
      <c r="Q88" s="318">
        <f>Données!V88</f>
        <v>25755.25</v>
      </c>
      <c r="R88" s="302">
        <f t="shared" si="11"/>
        <v>144091.47500000001</v>
      </c>
      <c r="S88" s="322">
        <f t="shared" si="12"/>
        <v>-226127.48026442321</v>
      </c>
      <c r="T88" s="323">
        <f t="shared" si="17"/>
        <v>-82036.005264423206</v>
      </c>
    </row>
    <row r="89" spans="1:20" x14ac:dyDescent="0.25">
      <c r="A89" s="148">
        <f>Données!A89</f>
        <v>5540</v>
      </c>
      <c r="B89" s="160" t="str">
        <f>Données!B89</f>
        <v>Montilliez</v>
      </c>
      <c r="C89" s="321">
        <f>Données!C89</f>
        <v>1874</v>
      </c>
      <c r="D89" s="318">
        <f>RFS!W89</f>
        <v>4421476.7604561308</v>
      </c>
      <c r="E89" s="336"/>
      <c r="F89" s="342">
        <f t="shared" si="9"/>
        <v>2359.3792745230153</v>
      </c>
      <c r="G89" s="336">
        <f t="shared" si="13"/>
        <v>-981.03538789982713</v>
      </c>
      <c r="H89" s="343">
        <f t="shared" si="10"/>
        <v>-1470768.2535394209</v>
      </c>
      <c r="I89" s="313"/>
      <c r="J89" s="344">
        <f t="shared" si="14"/>
        <v>3144.2075848428772</v>
      </c>
      <c r="K89" s="344">
        <f t="shared" si="15"/>
        <v>0</v>
      </c>
      <c r="L89" s="343">
        <f t="shared" si="16"/>
        <v>0</v>
      </c>
      <c r="M89" s="336"/>
      <c r="N89" s="345">
        <f>Données!S89</f>
        <v>97168.6</v>
      </c>
      <c r="O89" s="345">
        <f>Données!T89</f>
        <v>50767.9</v>
      </c>
      <c r="P89" s="345">
        <f>Données!U89</f>
        <v>45076</v>
      </c>
      <c r="Q89" s="318">
        <f>Données!V89</f>
        <v>14367.55</v>
      </c>
      <c r="R89" s="302">
        <f t="shared" si="11"/>
        <v>100816.515</v>
      </c>
      <c r="S89" s="322">
        <f t="shared" si="12"/>
        <v>-378359.7303710081</v>
      </c>
      <c r="T89" s="323">
        <f t="shared" si="17"/>
        <v>-277543.21537100809</v>
      </c>
    </row>
    <row r="90" spans="1:20" x14ac:dyDescent="0.25">
      <c r="A90" s="148">
        <f>Données!A90</f>
        <v>5541</v>
      </c>
      <c r="B90" s="160" t="str">
        <f>Données!B90</f>
        <v>Goumoëns</v>
      </c>
      <c r="C90" s="321">
        <f>Données!C90</f>
        <v>1211</v>
      </c>
      <c r="D90" s="318">
        <f>RFS!W90</f>
        <v>2797888.5431830748</v>
      </c>
      <c r="E90" s="336"/>
      <c r="F90" s="342">
        <f t="shared" si="9"/>
        <v>2310.3951636524152</v>
      </c>
      <c r="G90" s="336">
        <f t="shared" si="13"/>
        <v>-1030.0194987704272</v>
      </c>
      <c r="H90" s="343">
        <f t="shared" si="10"/>
        <v>-997882.89040878986</v>
      </c>
      <c r="I90" s="313"/>
      <c r="J90" s="344">
        <f t="shared" si="14"/>
        <v>3134.4107626687569</v>
      </c>
      <c r="K90" s="344">
        <f t="shared" si="15"/>
        <v>0</v>
      </c>
      <c r="L90" s="343">
        <f t="shared" si="16"/>
        <v>0</v>
      </c>
      <c r="M90" s="336"/>
      <c r="N90" s="345">
        <f>Données!S90</f>
        <v>19397.5</v>
      </c>
      <c r="O90" s="345">
        <f>Données!T90</f>
        <v>31713.200000000001</v>
      </c>
      <c r="P90" s="345">
        <f>Données!U90</f>
        <v>5565</v>
      </c>
      <c r="Q90" s="318">
        <f>Données!V90</f>
        <v>15859.35</v>
      </c>
      <c r="R90" s="302">
        <f t="shared" si="11"/>
        <v>33095.654999999999</v>
      </c>
      <c r="S90" s="322">
        <f t="shared" si="12"/>
        <v>-244500.3380359076</v>
      </c>
      <c r="T90" s="323">
        <f t="shared" si="17"/>
        <v>-211404.6830359076</v>
      </c>
    </row>
    <row r="91" spans="1:20" x14ac:dyDescent="0.25">
      <c r="A91" s="148">
        <f>Données!A91</f>
        <v>5551</v>
      </c>
      <c r="B91" s="160" t="str">
        <f>Données!B91</f>
        <v>Bonvillars</v>
      </c>
      <c r="C91" s="321">
        <f>Données!C91</f>
        <v>518</v>
      </c>
      <c r="D91" s="318">
        <f>RFS!W91</f>
        <v>1288540.0167845795</v>
      </c>
      <c r="E91" s="336"/>
      <c r="F91" s="342">
        <f t="shared" si="9"/>
        <v>2487.5289899316208</v>
      </c>
      <c r="G91" s="336">
        <f t="shared" si="13"/>
        <v>-852.88567249122161</v>
      </c>
      <c r="H91" s="343">
        <f t="shared" si="10"/>
        <v>-353435.82268036227</v>
      </c>
      <c r="I91" s="313"/>
      <c r="J91" s="344">
        <f t="shared" si="14"/>
        <v>3169.8375279245984</v>
      </c>
      <c r="K91" s="344">
        <f t="shared" si="15"/>
        <v>0</v>
      </c>
      <c r="L91" s="343">
        <f t="shared" si="16"/>
        <v>0</v>
      </c>
      <c r="M91" s="336"/>
      <c r="N91" s="345">
        <f>Données!S91</f>
        <v>74376.5</v>
      </c>
      <c r="O91" s="345">
        <f>Données!T91</f>
        <v>0</v>
      </c>
      <c r="P91" s="345">
        <f>Données!U91</f>
        <v>65638.95</v>
      </c>
      <c r="Q91" s="318">
        <f>Données!V91</f>
        <v>15353.85</v>
      </c>
      <c r="R91" s="302">
        <f t="shared" si="11"/>
        <v>74613.88</v>
      </c>
      <c r="S91" s="322">
        <f t="shared" si="12"/>
        <v>-104583.95962229573</v>
      </c>
      <c r="T91" s="323">
        <f t="shared" si="17"/>
        <v>-29970.079622295729</v>
      </c>
    </row>
    <row r="92" spans="1:20" x14ac:dyDescent="0.25">
      <c r="A92" s="148">
        <f>Données!A92</f>
        <v>5552</v>
      </c>
      <c r="B92" s="160" t="str">
        <f>Données!B92</f>
        <v>Bullet</v>
      </c>
      <c r="C92" s="321">
        <f>Données!C92</f>
        <v>682</v>
      </c>
      <c r="D92" s="318">
        <f>RFS!W92</f>
        <v>1365784.4811698894</v>
      </c>
      <c r="E92" s="336"/>
      <c r="F92" s="342">
        <f t="shared" si="9"/>
        <v>2002.6165413048232</v>
      </c>
      <c r="G92" s="336">
        <f t="shared" si="13"/>
        <v>-1337.7981211180193</v>
      </c>
      <c r="H92" s="343">
        <f t="shared" si="10"/>
        <v>-729902.65488199133</v>
      </c>
      <c r="I92" s="313"/>
      <c r="J92" s="344">
        <f t="shared" si="14"/>
        <v>3072.8550381992386</v>
      </c>
      <c r="K92" s="344">
        <f t="shared" si="15"/>
        <v>0</v>
      </c>
      <c r="L92" s="343">
        <f t="shared" si="16"/>
        <v>0</v>
      </c>
      <c r="M92" s="336"/>
      <c r="N92" s="345">
        <f>Données!S92</f>
        <v>68864.45</v>
      </c>
      <c r="O92" s="345">
        <f>Données!T92</f>
        <v>62797.9</v>
      </c>
      <c r="P92" s="345">
        <f>Données!U92</f>
        <v>68291.7</v>
      </c>
      <c r="Q92" s="318">
        <f>Données!V92</f>
        <v>88690.1</v>
      </c>
      <c r="R92" s="302">
        <f t="shared" si="11"/>
        <v>126584.05499999999</v>
      </c>
      <c r="S92" s="322">
        <f t="shared" si="12"/>
        <v>-137695.48351815771</v>
      </c>
      <c r="T92" s="323">
        <f t="shared" si="17"/>
        <v>-11111.428518157714</v>
      </c>
    </row>
    <row r="93" spans="1:20" x14ac:dyDescent="0.25">
      <c r="A93" s="148">
        <f>Données!A93</f>
        <v>5553</v>
      </c>
      <c r="B93" s="160" t="str">
        <f>Données!B93</f>
        <v>Champagne</v>
      </c>
      <c r="C93" s="321">
        <f>Données!C93</f>
        <v>1071</v>
      </c>
      <c r="D93" s="318">
        <f>RFS!W93</f>
        <v>2578313.9838754474</v>
      </c>
      <c r="E93" s="336"/>
      <c r="F93" s="342">
        <f t="shared" si="9"/>
        <v>2407.3893406866923</v>
      </c>
      <c r="G93" s="336">
        <f t="shared" si="13"/>
        <v>-933.02532173615009</v>
      </c>
      <c r="H93" s="343">
        <f t="shared" si="10"/>
        <v>-799416.09566353355</v>
      </c>
      <c r="I93" s="313"/>
      <c r="J93" s="344">
        <f t="shared" si="14"/>
        <v>3153.8095980756125</v>
      </c>
      <c r="K93" s="344">
        <f t="shared" si="15"/>
        <v>0</v>
      </c>
      <c r="L93" s="343">
        <f t="shared" si="16"/>
        <v>0</v>
      </c>
      <c r="M93" s="336"/>
      <c r="N93" s="345">
        <f>Données!S93</f>
        <v>150467.45000000001</v>
      </c>
      <c r="O93" s="345">
        <f>Données!T93</f>
        <v>17</v>
      </c>
      <c r="P93" s="345">
        <f>Données!U93</f>
        <v>93746.05</v>
      </c>
      <c r="Q93" s="318">
        <f>Données!V93</f>
        <v>277657.75</v>
      </c>
      <c r="R93" s="302">
        <f t="shared" si="11"/>
        <v>205412.57500000001</v>
      </c>
      <c r="S93" s="322">
        <f t="shared" si="12"/>
        <v>-216234.4030028547</v>
      </c>
      <c r="T93" s="323">
        <f t="shared" si="17"/>
        <v>-10821.828002854687</v>
      </c>
    </row>
    <row r="94" spans="1:20" x14ac:dyDescent="0.25">
      <c r="A94" s="148">
        <f>Données!A94</f>
        <v>5554</v>
      </c>
      <c r="B94" s="160" t="str">
        <f>Données!B94</f>
        <v>Concise</v>
      </c>
      <c r="C94" s="321">
        <f>Données!C94</f>
        <v>1025</v>
      </c>
      <c r="D94" s="318">
        <f>RFS!W94</f>
        <v>2241400.225280623</v>
      </c>
      <c r="E94" s="336"/>
      <c r="F94" s="342">
        <f t="shared" si="9"/>
        <v>2186.7319271030469</v>
      </c>
      <c r="G94" s="336">
        <f t="shared" si="13"/>
        <v>-1153.6827353197955</v>
      </c>
      <c r="H94" s="343">
        <f t="shared" si="10"/>
        <v>-946019.8429622323</v>
      </c>
      <c r="I94" s="313"/>
      <c r="J94" s="344">
        <f t="shared" si="14"/>
        <v>3109.6781153588836</v>
      </c>
      <c r="K94" s="344">
        <f t="shared" si="15"/>
        <v>0</v>
      </c>
      <c r="L94" s="343">
        <f t="shared" si="16"/>
        <v>0</v>
      </c>
      <c r="M94" s="336"/>
      <c r="N94" s="345">
        <f>Données!S94</f>
        <v>63386.45</v>
      </c>
      <c r="O94" s="345">
        <f>Données!T94</f>
        <v>73550.8</v>
      </c>
      <c r="P94" s="345">
        <f>Données!U94</f>
        <v>109603.2</v>
      </c>
      <c r="Q94" s="318">
        <f>Données!V94</f>
        <v>31530.2</v>
      </c>
      <c r="R94" s="302">
        <f t="shared" si="11"/>
        <v>132729.285</v>
      </c>
      <c r="S94" s="322">
        <f t="shared" si="12"/>
        <v>-206947.02434913733</v>
      </c>
      <c r="T94" s="323">
        <f t="shared" si="17"/>
        <v>-74217.739349137322</v>
      </c>
    </row>
    <row r="95" spans="1:20" x14ac:dyDescent="0.25">
      <c r="A95" s="148">
        <f>Données!A95</f>
        <v>5555</v>
      </c>
      <c r="B95" s="160" t="str">
        <f>Données!B95</f>
        <v>Corcelles-près-Concise</v>
      </c>
      <c r="C95" s="321">
        <f>Données!C95</f>
        <v>438</v>
      </c>
      <c r="D95" s="318">
        <f>RFS!W95</f>
        <v>960049.91252875398</v>
      </c>
      <c r="E95" s="336"/>
      <c r="F95" s="342">
        <f t="shared" si="9"/>
        <v>2191.8947774629087</v>
      </c>
      <c r="G95" s="336">
        <f t="shared" si="13"/>
        <v>-1148.5198849599337</v>
      </c>
      <c r="H95" s="343">
        <f t="shared" si="10"/>
        <v>-402441.36768996081</v>
      </c>
      <c r="I95" s="313"/>
      <c r="J95" s="344">
        <f t="shared" si="14"/>
        <v>3110.7106854308558</v>
      </c>
      <c r="K95" s="344">
        <f t="shared" si="15"/>
        <v>0</v>
      </c>
      <c r="L95" s="343">
        <f t="shared" si="16"/>
        <v>0</v>
      </c>
      <c r="M95" s="336"/>
      <c r="N95" s="345">
        <f>Données!S95</f>
        <v>73964</v>
      </c>
      <c r="O95" s="345">
        <f>Données!T95</f>
        <v>1232.5999999999999</v>
      </c>
      <c r="P95" s="345">
        <f>Données!U95</f>
        <v>68083.8</v>
      </c>
      <c r="Q95" s="318">
        <f>Données!V95</f>
        <v>7206.1</v>
      </c>
      <c r="R95" s="302">
        <f t="shared" si="11"/>
        <v>73802.030000000013</v>
      </c>
      <c r="S95" s="322">
        <f t="shared" si="12"/>
        <v>-88431.996746265504</v>
      </c>
      <c r="T95" s="323">
        <f t="shared" si="17"/>
        <v>-14629.966746265491</v>
      </c>
    </row>
    <row r="96" spans="1:20" x14ac:dyDescent="0.25">
      <c r="A96" s="148">
        <f>Données!A96</f>
        <v>5556</v>
      </c>
      <c r="B96" s="160" t="str">
        <f>Données!B96</f>
        <v>Fiez</v>
      </c>
      <c r="C96" s="321">
        <f>Données!C96</f>
        <v>431</v>
      </c>
      <c r="D96" s="318">
        <f>RFS!W96</f>
        <v>863784.9402413466</v>
      </c>
      <c r="E96" s="336"/>
      <c r="F96" s="342">
        <f t="shared" si="9"/>
        <v>2004.1413926713378</v>
      </c>
      <c r="G96" s="336">
        <f t="shared" si="13"/>
        <v>-1336.2732697515046</v>
      </c>
      <c r="H96" s="343">
        <f t="shared" si="10"/>
        <v>-460747.02341031877</v>
      </c>
      <c r="I96" s="313"/>
      <c r="J96" s="344">
        <f t="shared" si="14"/>
        <v>3073.1600084725414</v>
      </c>
      <c r="K96" s="344">
        <f t="shared" si="15"/>
        <v>0</v>
      </c>
      <c r="L96" s="343">
        <f t="shared" si="16"/>
        <v>0</v>
      </c>
      <c r="M96" s="336"/>
      <c r="N96" s="345">
        <f>Données!S96</f>
        <v>36300</v>
      </c>
      <c r="O96" s="345">
        <f>Données!T96</f>
        <v>51988.1</v>
      </c>
      <c r="P96" s="345">
        <f>Données!U96</f>
        <v>73878.899999999994</v>
      </c>
      <c r="Q96" s="318">
        <f>Données!V96</f>
        <v>588.25</v>
      </c>
      <c r="R96" s="302">
        <f t="shared" si="11"/>
        <v>81259.975000000006</v>
      </c>
      <c r="S96" s="322">
        <f t="shared" si="12"/>
        <v>-87018.699994612864</v>
      </c>
      <c r="T96" s="323">
        <f t="shared" si="17"/>
        <v>-5758.7249946128577</v>
      </c>
    </row>
    <row r="97" spans="1:20" x14ac:dyDescent="0.25">
      <c r="A97" s="148">
        <f>Données!A97</f>
        <v>5557</v>
      </c>
      <c r="B97" s="160" t="str">
        <f>Données!B97</f>
        <v>Fontaines-sur-Grandson</v>
      </c>
      <c r="C97" s="321">
        <f>Données!C97</f>
        <v>220</v>
      </c>
      <c r="D97" s="318">
        <f>RFS!W97</f>
        <v>348412.73058023542</v>
      </c>
      <c r="E97" s="336"/>
      <c r="F97" s="342">
        <f t="shared" si="9"/>
        <v>1583.6942299101611</v>
      </c>
      <c r="G97" s="336">
        <f t="shared" si="13"/>
        <v>-1756.7204325126813</v>
      </c>
      <c r="H97" s="343">
        <f t="shared" si="10"/>
        <v>-309182.79612223193</v>
      </c>
      <c r="I97" s="313"/>
      <c r="J97" s="344">
        <f t="shared" si="14"/>
        <v>2989.0705759203065</v>
      </c>
      <c r="K97" s="344">
        <f t="shared" si="15"/>
        <v>-17.302620260250023</v>
      </c>
      <c r="L97" s="343">
        <f t="shared" si="16"/>
        <v>-3807</v>
      </c>
      <c r="M97" s="336"/>
      <c r="N97" s="345">
        <f>Données!S97</f>
        <v>10563.6</v>
      </c>
      <c r="O97" s="345">
        <f>Données!T97</f>
        <v>0</v>
      </c>
      <c r="P97" s="345">
        <f>Données!U97</f>
        <v>9331.2000000000007</v>
      </c>
      <c r="Q97" s="318">
        <f>Données!V97</f>
        <v>0</v>
      </c>
      <c r="R97" s="302">
        <f t="shared" si="11"/>
        <v>9947.4000000000015</v>
      </c>
      <c r="S97" s="322">
        <f t="shared" si="12"/>
        <v>-44417.897909083127</v>
      </c>
      <c r="T97" s="323">
        <f t="shared" si="17"/>
        <v>-34470.497909083126</v>
      </c>
    </row>
    <row r="98" spans="1:20" x14ac:dyDescent="0.25">
      <c r="A98" s="148">
        <f>Données!A98</f>
        <v>5559</v>
      </c>
      <c r="B98" s="160" t="str">
        <f>Données!B98</f>
        <v>Giez</v>
      </c>
      <c r="C98" s="321">
        <f>Données!C98</f>
        <v>464</v>
      </c>
      <c r="D98" s="318">
        <f>RFS!W98</f>
        <v>1571819.0166421589</v>
      </c>
      <c r="E98" s="336"/>
      <c r="F98" s="342">
        <f t="shared" si="9"/>
        <v>3387.5409841425835</v>
      </c>
      <c r="G98" s="336">
        <f t="shared" si="13"/>
        <v>47.1263217197411</v>
      </c>
      <c r="H98" s="343">
        <f t="shared" si="10"/>
        <v>17493.290622367895</v>
      </c>
      <c r="I98" s="313"/>
      <c r="J98" s="344">
        <f t="shared" si="14"/>
        <v>3349.8399267667905</v>
      </c>
      <c r="K98" s="344">
        <f t="shared" si="15"/>
        <v>0</v>
      </c>
      <c r="L98" s="343">
        <f t="shared" si="16"/>
        <v>0</v>
      </c>
      <c r="M98" s="336"/>
      <c r="N98" s="345">
        <f>Données!S98</f>
        <v>21065</v>
      </c>
      <c r="O98" s="345">
        <f>Données!T98</f>
        <v>-28</v>
      </c>
      <c r="P98" s="345">
        <f>Données!U98</f>
        <v>45675</v>
      </c>
      <c r="Q98" s="318">
        <f>Données!V98</f>
        <v>8772.9500000000007</v>
      </c>
      <c r="R98" s="302">
        <f t="shared" si="11"/>
        <v>35987.885000000002</v>
      </c>
      <c r="S98" s="322">
        <f t="shared" si="12"/>
        <v>-93681.38468097533</v>
      </c>
      <c r="T98" s="323">
        <f t="shared" si="17"/>
        <v>-57693.499680975328</v>
      </c>
    </row>
    <row r="99" spans="1:20" x14ac:dyDescent="0.25">
      <c r="A99" s="148">
        <f>Données!A99</f>
        <v>5560</v>
      </c>
      <c r="B99" s="160" t="str">
        <f>Données!B99</f>
        <v>Grandevent</v>
      </c>
      <c r="C99" s="321">
        <f>Données!C99</f>
        <v>241</v>
      </c>
      <c r="D99" s="318">
        <f>RFS!W99</f>
        <v>542943.86919534241</v>
      </c>
      <c r="E99" s="336"/>
      <c r="F99" s="342">
        <f t="shared" si="9"/>
        <v>2252.8791252918772</v>
      </c>
      <c r="G99" s="336">
        <f t="shared" si="13"/>
        <v>-1087.5355371309652</v>
      </c>
      <c r="H99" s="343">
        <f t="shared" si="10"/>
        <v>-209676.85155885009</v>
      </c>
      <c r="I99" s="313"/>
      <c r="J99" s="344">
        <f t="shared" si="14"/>
        <v>3122.9075549966492</v>
      </c>
      <c r="K99" s="344">
        <f t="shared" si="15"/>
        <v>0</v>
      </c>
      <c r="L99" s="343">
        <f t="shared" si="16"/>
        <v>0</v>
      </c>
      <c r="M99" s="336"/>
      <c r="N99" s="345">
        <f>Données!S99</f>
        <v>18425</v>
      </c>
      <c r="O99" s="345">
        <f>Données!T99</f>
        <v>3962.6</v>
      </c>
      <c r="P99" s="345">
        <f>Données!U99</f>
        <v>9501</v>
      </c>
      <c r="Q99" s="318">
        <f>Données!V99</f>
        <v>0</v>
      </c>
      <c r="R99" s="302">
        <f t="shared" si="11"/>
        <v>15944.3</v>
      </c>
      <c r="S99" s="322">
        <f t="shared" si="12"/>
        <v>-48657.788164041063</v>
      </c>
      <c r="T99" s="323">
        <f t="shared" si="17"/>
        <v>-32713.488164041064</v>
      </c>
    </row>
    <row r="100" spans="1:20" x14ac:dyDescent="0.25">
      <c r="A100" s="148">
        <f>Données!A100</f>
        <v>5561</v>
      </c>
      <c r="B100" s="160" t="str">
        <f>Données!B100</f>
        <v>Grandson</v>
      </c>
      <c r="C100" s="321">
        <f>Données!C100</f>
        <v>3396</v>
      </c>
      <c r="D100" s="318">
        <f>RFS!W100</f>
        <v>8504087.6237529498</v>
      </c>
      <c r="E100" s="336"/>
      <c r="F100" s="342">
        <f t="shared" si="9"/>
        <v>2504.1482991027533</v>
      </c>
      <c r="G100" s="336">
        <f t="shared" si="13"/>
        <v>-836.26636332008911</v>
      </c>
      <c r="H100" s="343">
        <f t="shared" si="10"/>
        <v>-2271968.4558680183</v>
      </c>
      <c r="I100" s="313"/>
      <c r="J100" s="344">
        <f t="shared" si="14"/>
        <v>3173.1613897588245</v>
      </c>
      <c r="K100" s="344">
        <f t="shared" si="15"/>
        <v>0</v>
      </c>
      <c r="L100" s="343">
        <f t="shared" si="16"/>
        <v>0</v>
      </c>
      <c r="M100" s="336"/>
      <c r="N100" s="345">
        <f>Données!S100</f>
        <v>353576.3</v>
      </c>
      <c r="O100" s="345">
        <f>Données!T100</f>
        <v>211087.9</v>
      </c>
      <c r="P100" s="345">
        <f>Données!U100</f>
        <v>235083.6</v>
      </c>
      <c r="Q100" s="318">
        <f>Données!V100</f>
        <v>289118.05</v>
      </c>
      <c r="R100" s="302">
        <f t="shared" si="11"/>
        <v>486609.31499999994</v>
      </c>
      <c r="S100" s="322">
        <f t="shared" si="12"/>
        <v>-685650.82408748323</v>
      </c>
      <c r="T100" s="323">
        <f t="shared" si="17"/>
        <v>-199041.50908748328</v>
      </c>
    </row>
    <row r="101" spans="1:20" x14ac:dyDescent="0.25">
      <c r="A101" s="148">
        <f>Données!A101</f>
        <v>5562</v>
      </c>
      <c r="B101" s="160" t="str">
        <f>Données!B101</f>
        <v>Mauborget</v>
      </c>
      <c r="C101" s="321">
        <f>Données!C101</f>
        <v>145</v>
      </c>
      <c r="D101" s="318">
        <f>RFS!W101</f>
        <v>308062.02738747577</v>
      </c>
      <c r="E101" s="336"/>
      <c r="F101" s="342">
        <f t="shared" si="9"/>
        <v>2124.5657061205225</v>
      </c>
      <c r="G101" s="336">
        <f t="shared" si="13"/>
        <v>-1215.8489563023199</v>
      </c>
      <c r="H101" s="343">
        <f t="shared" si="10"/>
        <v>-141038.47893106911</v>
      </c>
      <c r="I101" s="313"/>
      <c r="J101" s="344">
        <f t="shared" si="14"/>
        <v>3097.2448711623783</v>
      </c>
      <c r="K101" s="344">
        <f t="shared" si="15"/>
        <v>0</v>
      </c>
      <c r="L101" s="343">
        <f t="shared" si="16"/>
        <v>0</v>
      </c>
      <c r="M101" s="336"/>
      <c r="N101" s="345">
        <f>Données!S101</f>
        <v>20295</v>
      </c>
      <c r="O101" s="345">
        <f>Données!T101</f>
        <v>4907.6000000000004</v>
      </c>
      <c r="P101" s="345">
        <f>Données!U101</f>
        <v>22074.95</v>
      </c>
      <c r="Q101" s="318">
        <f>Données!V101</f>
        <v>741.95</v>
      </c>
      <c r="R101" s="302">
        <f t="shared" si="11"/>
        <v>23861.360000000001</v>
      </c>
      <c r="S101" s="322">
        <f t="shared" si="12"/>
        <v>-29275.432712804792</v>
      </c>
      <c r="T101" s="323">
        <f t="shared" si="17"/>
        <v>-5414.0727128047911</v>
      </c>
    </row>
    <row r="102" spans="1:20" x14ac:dyDescent="0.25">
      <c r="A102" s="148">
        <f>Données!A102</f>
        <v>5563</v>
      </c>
      <c r="B102" s="160" t="str">
        <f>Données!B102</f>
        <v>Mutrux</v>
      </c>
      <c r="C102" s="321">
        <f>Données!C102</f>
        <v>144</v>
      </c>
      <c r="D102" s="318">
        <f>RFS!W102</f>
        <v>276241.19836365274</v>
      </c>
      <c r="E102" s="336"/>
      <c r="F102" s="342">
        <f t="shared" si="9"/>
        <v>1918.3416553031441</v>
      </c>
      <c r="G102" s="336">
        <f t="shared" si="13"/>
        <v>-1422.0730071196983</v>
      </c>
      <c r="H102" s="343">
        <f t="shared" si="10"/>
        <v>-163822.81042018926</v>
      </c>
      <c r="I102" s="313"/>
      <c r="J102" s="344">
        <f t="shared" si="14"/>
        <v>3056.0000609989029</v>
      </c>
      <c r="K102" s="344">
        <f t="shared" si="15"/>
        <v>0</v>
      </c>
      <c r="L102" s="343">
        <f t="shared" si="16"/>
        <v>0</v>
      </c>
      <c r="M102" s="336"/>
      <c r="N102" s="345">
        <f>Données!S102</f>
        <v>20996.1</v>
      </c>
      <c r="O102" s="345">
        <f>Données!T102</f>
        <v>2053.8000000000002</v>
      </c>
      <c r="P102" s="345">
        <f>Données!U102</f>
        <v>17610.650000000001</v>
      </c>
      <c r="Q102" s="318">
        <f>Données!V102</f>
        <v>0</v>
      </c>
      <c r="R102" s="302">
        <f t="shared" si="11"/>
        <v>20330.275000000001</v>
      </c>
      <c r="S102" s="322">
        <f t="shared" si="12"/>
        <v>-29073.533176854413</v>
      </c>
      <c r="T102" s="323">
        <f t="shared" si="17"/>
        <v>-8743.2581768544114</v>
      </c>
    </row>
    <row r="103" spans="1:20" x14ac:dyDescent="0.25">
      <c r="A103" s="148">
        <f>Données!A103</f>
        <v>5564</v>
      </c>
      <c r="B103" s="160" t="str">
        <f>Données!B103</f>
        <v>Novalles</v>
      </c>
      <c r="C103" s="321">
        <f>Données!C103</f>
        <v>106</v>
      </c>
      <c r="D103" s="318">
        <f>RFS!W103</f>
        <v>168008.97480802669</v>
      </c>
      <c r="E103" s="336"/>
      <c r="F103" s="342">
        <f t="shared" si="9"/>
        <v>1584.9903283776102</v>
      </c>
      <c r="G103" s="336">
        <f t="shared" si="13"/>
        <v>-1755.4243340452322</v>
      </c>
      <c r="H103" s="343">
        <f t="shared" si="10"/>
        <v>-148859.98352703569</v>
      </c>
      <c r="I103" s="313"/>
      <c r="J103" s="344">
        <f t="shared" si="14"/>
        <v>2989.3297956137958</v>
      </c>
      <c r="K103" s="344">
        <f t="shared" si="15"/>
        <v>-17.043400566760738</v>
      </c>
      <c r="L103" s="343">
        <f t="shared" si="16"/>
        <v>-1807</v>
      </c>
      <c r="M103" s="336"/>
      <c r="N103" s="345">
        <f>Données!S103</f>
        <v>14047</v>
      </c>
      <c r="O103" s="345">
        <f>Données!T103</f>
        <v>0</v>
      </c>
      <c r="P103" s="345">
        <f>Données!U103</f>
        <v>0</v>
      </c>
      <c r="Q103" s="318">
        <f>Données!V103</f>
        <v>0</v>
      </c>
      <c r="R103" s="302">
        <f t="shared" si="11"/>
        <v>7023.5</v>
      </c>
      <c r="S103" s="322">
        <f t="shared" si="12"/>
        <v>-21401.350810740056</v>
      </c>
      <c r="T103" s="323">
        <f t="shared" si="17"/>
        <v>-14377.850810740056</v>
      </c>
    </row>
    <row r="104" spans="1:20" x14ac:dyDescent="0.25">
      <c r="A104" s="148">
        <f>Données!A104</f>
        <v>5565</v>
      </c>
      <c r="B104" s="160" t="str">
        <f>Données!B104</f>
        <v>Onnens</v>
      </c>
      <c r="C104" s="321">
        <f>Données!C104</f>
        <v>520</v>
      </c>
      <c r="D104" s="318">
        <f>RFS!W104</f>
        <v>1351646.4196768217</v>
      </c>
      <c r="E104" s="336"/>
      <c r="F104" s="342">
        <f t="shared" si="9"/>
        <v>2599.3200378400416</v>
      </c>
      <c r="G104" s="336">
        <f t="shared" si="13"/>
        <v>-741.09462458280086</v>
      </c>
      <c r="H104" s="343">
        <f t="shared" si="10"/>
        <v>-308295.36382644519</v>
      </c>
      <c r="I104" s="313"/>
      <c r="J104" s="344">
        <f t="shared" si="14"/>
        <v>3192.1957375062821</v>
      </c>
      <c r="K104" s="344">
        <f t="shared" si="15"/>
        <v>0</v>
      </c>
      <c r="L104" s="343">
        <f t="shared" si="16"/>
        <v>0</v>
      </c>
      <c r="M104" s="336"/>
      <c r="N104" s="345">
        <f>Données!S104</f>
        <v>56220.45</v>
      </c>
      <c r="O104" s="345">
        <f>Données!T104</f>
        <v>0</v>
      </c>
      <c r="P104" s="345">
        <f>Données!U104</f>
        <v>74177.25</v>
      </c>
      <c r="Q104" s="318">
        <f>Données!V104</f>
        <v>56253.35</v>
      </c>
      <c r="R104" s="302">
        <f t="shared" si="11"/>
        <v>82074.854999999996</v>
      </c>
      <c r="S104" s="322">
        <f t="shared" si="12"/>
        <v>-104987.7586941965</v>
      </c>
      <c r="T104" s="323">
        <f t="shared" si="17"/>
        <v>-22912.903694196502</v>
      </c>
    </row>
    <row r="105" spans="1:20" x14ac:dyDescent="0.25">
      <c r="A105" s="148">
        <f>Données!A105</f>
        <v>5566</v>
      </c>
      <c r="B105" s="160" t="str">
        <f>Données!B105</f>
        <v>Provence</v>
      </c>
      <c r="C105" s="321">
        <f>Données!C105</f>
        <v>411</v>
      </c>
      <c r="D105" s="318">
        <f>RFS!W105</f>
        <v>777923.28839341982</v>
      </c>
      <c r="E105" s="336"/>
      <c r="F105" s="342">
        <f t="shared" si="9"/>
        <v>1892.7573926847197</v>
      </c>
      <c r="G105" s="336">
        <f t="shared" si="13"/>
        <v>-1447.6572697381227</v>
      </c>
      <c r="H105" s="343">
        <f t="shared" si="10"/>
        <v>-475989.71028989484</v>
      </c>
      <c r="I105" s="313"/>
      <c r="J105" s="344">
        <f t="shared" si="14"/>
        <v>3050.883208475218</v>
      </c>
      <c r="K105" s="344">
        <f t="shared" si="15"/>
        <v>0</v>
      </c>
      <c r="L105" s="343">
        <f t="shared" si="16"/>
        <v>0</v>
      </c>
      <c r="M105" s="336"/>
      <c r="N105" s="345">
        <f>Données!S105</f>
        <v>50950.3</v>
      </c>
      <c r="O105" s="345">
        <f>Données!T105</f>
        <v>74300.600000000006</v>
      </c>
      <c r="P105" s="345">
        <f>Données!U105</f>
        <v>14162.4</v>
      </c>
      <c r="Q105" s="318">
        <f>Données!V105</f>
        <v>49491.15</v>
      </c>
      <c r="R105" s="302">
        <f t="shared" si="11"/>
        <v>84553.99500000001</v>
      </c>
      <c r="S105" s="322">
        <f t="shared" si="12"/>
        <v>-82980.709275605303</v>
      </c>
      <c r="T105" s="323">
        <f t="shared" si="17"/>
        <v>1573.2857243947074</v>
      </c>
    </row>
    <row r="106" spans="1:20" x14ac:dyDescent="0.25">
      <c r="A106" s="148">
        <f>Données!A106</f>
        <v>5568</v>
      </c>
      <c r="B106" s="160" t="str">
        <f>Données!B106</f>
        <v>Sainte-Croix</v>
      </c>
      <c r="C106" s="321">
        <f>Données!C106</f>
        <v>5130</v>
      </c>
      <c r="D106" s="318">
        <f>RFS!W106</f>
        <v>7764229.2796796523</v>
      </c>
      <c r="E106" s="336"/>
      <c r="F106" s="342">
        <f t="shared" si="9"/>
        <v>1513.4949862923299</v>
      </c>
      <c r="G106" s="336">
        <f t="shared" si="13"/>
        <v>-1826.9196761305125</v>
      </c>
      <c r="H106" s="343">
        <f t="shared" si="10"/>
        <v>-7497678.3508396233</v>
      </c>
      <c r="I106" s="313"/>
      <c r="J106" s="344">
        <f t="shared" si="14"/>
        <v>2975.0307271967399</v>
      </c>
      <c r="K106" s="344">
        <f t="shared" si="15"/>
        <v>-31.342468983816616</v>
      </c>
      <c r="L106" s="343">
        <f t="shared" si="16"/>
        <v>-160787</v>
      </c>
      <c r="M106" s="336"/>
      <c r="N106" s="345">
        <f>Données!S106</f>
        <v>252402.05</v>
      </c>
      <c r="O106" s="345">
        <f>Données!T106</f>
        <v>205702.8</v>
      </c>
      <c r="P106" s="345">
        <f>Données!U106</f>
        <v>261369.75</v>
      </c>
      <c r="Q106" s="318">
        <f>Données!V106</f>
        <v>2781681.25</v>
      </c>
      <c r="R106" s="302">
        <f t="shared" si="11"/>
        <v>1194241.675</v>
      </c>
      <c r="S106" s="322">
        <f t="shared" si="12"/>
        <v>-1035744.6194254385</v>
      </c>
      <c r="T106" s="323">
        <f t="shared" si="17"/>
        <v>158497.05557456159</v>
      </c>
    </row>
    <row r="107" spans="1:20" x14ac:dyDescent="0.25">
      <c r="A107" s="148">
        <f>Données!A107</f>
        <v>5571</v>
      </c>
      <c r="B107" s="160" t="str">
        <f>Données!B107</f>
        <v>Tévenon</v>
      </c>
      <c r="C107" s="321">
        <f>Données!C107</f>
        <v>861</v>
      </c>
      <c r="D107" s="318">
        <f>RFS!W107</f>
        <v>1775692.2322477598</v>
      </c>
      <c r="E107" s="336"/>
      <c r="F107" s="342">
        <f t="shared" si="9"/>
        <v>2062.3603161994888</v>
      </c>
      <c r="G107" s="336">
        <f t="shared" si="13"/>
        <v>-1278.0543462233536</v>
      </c>
      <c r="H107" s="343">
        <f t="shared" si="10"/>
        <v>-880323.83367864601</v>
      </c>
      <c r="I107" s="313"/>
      <c r="J107" s="344">
        <f t="shared" si="14"/>
        <v>3084.8037931781719</v>
      </c>
      <c r="K107" s="344">
        <f t="shared" si="15"/>
        <v>0</v>
      </c>
      <c r="L107" s="343">
        <f t="shared" si="16"/>
        <v>0</v>
      </c>
      <c r="M107" s="336"/>
      <c r="N107" s="345">
        <f>Données!S107</f>
        <v>138634.79999999999</v>
      </c>
      <c r="O107" s="345">
        <f>Données!T107</f>
        <v>4634</v>
      </c>
      <c r="P107" s="345">
        <f>Données!U107</f>
        <v>119557.6</v>
      </c>
      <c r="Q107" s="318">
        <f>Données!V107</f>
        <v>39035.800000000003</v>
      </c>
      <c r="R107" s="302">
        <f t="shared" si="11"/>
        <v>143123.94</v>
      </c>
      <c r="S107" s="322">
        <f t="shared" si="12"/>
        <v>-173835.50045327534</v>
      </c>
      <c r="T107" s="323">
        <f t="shared" si="17"/>
        <v>-30711.560453275335</v>
      </c>
    </row>
    <row r="108" spans="1:20" x14ac:dyDescent="0.25">
      <c r="A108" s="148">
        <f>Données!A108</f>
        <v>5581</v>
      </c>
      <c r="B108" s="160" t="str">
        <f>Données!B108</f>
        <v>Belmont-sur-Lausanne</v>
      </c>
      <c r="C108" s="321">
        <f>Données!C108</f>
        <v>3922</v>
      </c>
      <c r="D108" s="318">
        <f>RFS!W108</f>
        <v>15216074.216722243</v>
      </c>
      <c r="E108" s="336"/>
      <c r="F108" s="342">
        <f t="shared" si="9"/>
        <v>3879.6721613264258</v>
      </c>
      <c r="G108" s="336">
        <f t="shared" si="13"/>
        <v>539.25749890358338</v>
      </c>
      <c r="H108" s="343">
        <f t="shared" si="10"/>
        <v>1691974.3285598832</v>
      </c>
      <c r="I108" s="313"/>
      <c r="J108" s="344">
        <f t="shared" si="14"/>
        <v>3448.2661622035589</v>
      </c>
      <c r="K108" s="344">
        <f t="shared" si="15"/>
        <v>0</v>
      </c>
      <c r="L108" s="343">
        <f t="shared" si="16"/>
        <v>0</v>
      </c>
      <c r="M108" s="336"/>
      <c r="N108" s="345">
        <f>Données!S108</f>
        <v>585948.5</v>
      </c>
      <c r="O108" s="345">
        <f>Données!T108</f>
        <v>80188</v>
      </c>
      <c r="P108" s="345">
        <f>Données!U108</f>
        <v>607588.75</v>
      </c>
      <c r="Q108" s="318">
        <f>Données!V108</f>
        <v>27046.7</v>
      </c>
      <c r="R108" s="302">
        <f t="shared" si="11"/>
        <v>644976.63500000001</v>
      </c>
      <c r="S108" s="322">
        <f t="shared" si="12"/>
        <v>-791849.97999738203</v>
      </c>
      <c r="T108" s="323">
        <f t="shared" si="17"/>
        <v>-146873.34499738202</v>
      </c>
    </row>
    <row r="109" spans="1:20" x14ac:dyDescent="0.25">
      <c r="A109" s="148">
        <f>Données!A109</f>
        <v>5582</v>
      </c>
      <c r="B109" s="160" t="str">
        <f>Données!B109</f>
        <v>Cheseaux-sur-Lausanne</v>
      </c>
      <c r="C109" s="321">
        <f>Données!C109</f>
        <v>4855</v>
      </c>
      <c r="D109" s="318">
        <f>RFS!W109</f>
        <v>12229698.201405453</v>
      </c>
      <c r="E109" s="336"/>
      <c r="F109" s="342">
        <f t="shared" si="9"/>
        <v>2518.9903607426268</v>
      </c>
      <c r="G109" s="336">
        <f t="shared" si="13"/>
        <v>-821.42430168021565</v>
      </c>
      <c r="H109" s="343">
        <f t="shared" si="10"/>
        <v>-3190411.9877259582</v>
      </c>
      <c r="I109" s="313"/>
      <c r="J109" s="344">
        <f t="shared" si="14"/>
        <v>3176.1298020867994</v>
      </c>
      <c r="K109" s="344">
        <f t="shared" si="15"/>
        <v>0</v>
      </c>
      <c r="L109" s="343">
        <f t="shared" si="16"/>
        <v>0</v>
      </c>
      <c r="M109" s="336"/>
      <c r="N109" s="345">
        <f>Données!S109</f>
        <v>453425.85</v>
      </c>
      <c r="O109" s="345">
        <f>Données!T109</f>
        <v>105942.3</v>
      </c>
      <c r="P109" s="345">
        <f>Données!U109</f>
        <v>245980.15</v>
      </c>
      <c r="Q109" s="318">
        <f>Données!V109</f>
        <v>462952.75</v>
      </c>
      <c r="R109" s="302">
        <f t="shared" si="11"/>
        <v>541559.97499999998</v>
      </c>
      <c r="S109" s="322">
        <f t="shared" si="12"/>
        <v>-980222.24703908456</v>
      </c>
      <c r="T109" s="323">
        <f t="shared" si="17"/>
        <v>-438662.27203908458</v>
      </c>
    </row>
    <row r="110" spans="1:20" x14ac:dyDescent="0.25">
      <c r="A110" s="148">
        <f>Données!A110</f>
        <v>5583</v>
      </c>
      <c r="B110" s="160" t="str">
        <f>Données!B110</f>
        <v>Crissier</v>
      </c>
      <c r="C110" s="321">
        <f>Données!C110</f>
        <v>10680</v>
      </c>
      <c r="D110" s="318">
        <f>RFS!W110</f>
        <v>30453166.312223986</v>
      </c>
      <c r="E110" s="336"/>
      <c r="F110" s="342">
        <f t="shared" si="9"/>
        <v>2851.4200666876391</v>
      </c>
      <c r="G110" s="336">
        <f t="shared" si="13"/>
        <v>-488.99459573520335</v>
      </c>
      <c r="H110" s="343">
        <f t="shared" si="10"/>
        <v>-4177969.8259615777</v>
      </c>
      <c r="I110" s="313"/>
      <c r="J110" s="344">
        <f t="shared" si="14"/>
        <v>3242.6157432758018</v>
      </c>
      <c r="K110" s="344">
        <f t="shared" si="15"/>
        <v>0</v>
      </c>
      <c r="L110" s="343">
        <f t="shared" si="16"/>
        <v>0</v>
      </c>
      <c r="M110" s="336"/>
      <c r="N110" s="345">
        <f>Données!S110</f>
        <v>2139149.4</v>
      </c>
      <c r="O110" s="345">
        <f>Données!T110</f>
        <v>2119271</v>
      </c>
      <c r="P110" s="345">
        <f>Données!U110</f>
        <v>1092036.55</v>
      </c>
      <c r="Q110" s="318">
        <f>Données!V110</f>
        <v>3167974.65</v>
      </c>
      <c r="R110" s="302">
        <f t="shared" si="11"/>
        <v>3625620.87</v>
      </c>
      <c r="S110" s="322">
        <f t="shared" si="12"/>
        <v>-2156287.0439500357</v>
      </c>
      <c r="T110" s="323">
        <f t="shared" si="17"/>
        <v>1469333.8260499644</v>
      </c>
    </row>
    <row r="111" spans="1:20" x14ac:dyDescent="0.25">
      <c r="A111" s="148">
        <f>Données!A111</f>
        <v>5584</v>
      </c>
      <c r="B111" s="160" t="str">
        <f>Données!B111</f>
        <v>Epalinges</v>
      </c>
      <c r="C111" s="321">
        <f>Données!C111</f>
        <v>9905</v>
      </c>
      <c r="D111" s="318">
        <f>RFS!W111</f>
        <v>35369430.655433826</v>
      </c>
      <c r="E111" s="336"/>
      <c r="F111" s="342">
        <f t="shared" si="9"/>
        <v>3570.8662953491998</v>
      </c>
      <c r="G111" s="336">
        <f t="shared" si="13"/>
        <v>230.45163292635743</v>
      </c>
      <c r="H111" s="343">
        <f t="shared" si="10"/>
        <v>1826098.7393084564</v>
      </c>
      <c r="I111" s="313"/>
      <c r="J111" s="344">
        <f t="shared" si="14"/>
        <v>3386.5049890081141</v>
      </c>
      <c r="K111" s="344">
        <f t="shared" si="15"/>
        <v>0</v>
      </c>
      <c r="L111" s="343">
        <f t="shared" si="16"/>
        <v>0</v>
      </c>
      <c r="M111" s="336"/>
      <c r="N111" s="345">
        <f>Données!S111</f>
        <v>1357226.75</v>
      </c>
      <c r="O111" s="345">
        <f>Données!T111</f>
        <v>512242.8</v>
      </c>
      <c r="P111" s="345">
        <f>Données!U111</f>
        <v>1128012.95</v>
      </c>
      <c r="Q111" s="318">
        <f>Données!V111</f>
        <v>357373.9</v>
      </c>
      <c r="R111" s="302">
        <f t="shared" si="11"/>
        <v>1605953.42</v>
      </c>
      <c r="S111" s="322">
        <f t="shared" si="12"/>
        <v>-1999814.9035884929</v>
      </c>
      <c r="T111" s="323">
        <f t="shared" si="17"/>
        <v>-393861.48358849296</v>
      </c>
    </row>
    <row r="112" spans="1:20" x14ac:dyDescent="0.25">
      <c r="A112" s="148">
        <f>Données!A112</f>
        <v>5585</v>
      </c>
      <c r="B112" s="160" t="str">
        <f>Données!B112</f>
        <v>Jouxtens-Mézery</v>
      </c>
      <c r="C112" s="321">
        <f>Données!C112</f>
        <v>1482</v>
      </c>
      <c r="D112" s="318">
        <f>RFS!W112</f>
        <v>13919561.124516418</v>
      </c>
      <c r="E112" s="336"/>
      <c r="F112" s="342">
        <f t="shared" si="9"/>
        <v>9392.4164133039267</v>
      </c>
      <c r="G112" s="336">
        <f t="shared" si="13"/>
        <v>6052.0017508810843</v>
      </c>
      <c r="H112" s="343">
        <f t="shared" si="10"/>
        <v>7175253.275844614</v>
      </c>
      <c r="I112" s="313"/>
      <c r="J112" s="344">
        <f t="shared" si="14"/>
        <v>4550.8150125990587</v>
      </c>
      <c r="K112" s="344">
        <f t="shared" si="15"/>
        <v>0</v>
      </c>
      <c r="L112" s="343">
        <f t="shared" si="16"/>
        <v>0</v>
      </c>
      <c r="M112" s="336"/>
      <c r="N112" s="345">
        <f>Données!S112</f>
        <v>181871.15</v>
      </c>
      <c r="O112" s="345">
        <f>Données!T112</f>
        <v>3.8</v>
      </c>
      <c r="P112" s="345">
        <f>Données!U112</f>
        <v>307286.95</v>
      </c>
      <c r="Q112" s="318">
        <f>Données!V112</f>
        <v>1553.15</v>
      </c>
      <c r="R112" s="302">
        <f t="shared" si="11"/>
        <v>245046.89500000002</v>
      </c>
      <c r="S112" s="322">
        <f t="shared" si="12"/>
        <v>-299215.11227846</v>
      </c>
      <c r="T112" s="323">
        <f t="shared" si="17"/>
        <v>-54168.217278459982</v>
      </c>
    </row>
    <row r="113" spans="1:20" x14ac:dyDescent="0.25">
      <c r="A113" s="148">
        <f>Données!A113</f>
        <v>5586</v>
      </c>
      <c r="B113" s="160" t="str">
        <f>Données!B113</f>
        <v>Lausanne</v>
      </c>
      <c r="C113" s="321">
        <f>Données!C113</f>
        <v>145037</v>
      </c>
      <c r="D113" s="318">
        <f>RFS!W113</f>
        <v>482811437.38362503</v>
      </c>
      <c r="E113" s="336"/>
      <c r="F113" s="342">
        <f t="shared" si="9"/>
        <v>3328.8846114000221</v>
      </c>
      <c r="G113" s="336">
        <f t="shared" si="13"/>
        <v>-11.530051022820317</v>
      </c>
      <c r="H113" s="343">
        <f t="shared" si="10"/>
        <v>-1337827.2081574323</v>
      </c>
      <c r="I113" s="313"/>
      <c r="J113" s="344">
        <f t="shared" si="14"/>
        <v>3338.1086522182782</v>
      </c>
      <c r="K113" s="344">
        <f t="shared" si="15"/>
        <v>0</v>
      </c>
      <c r="L113" s="343">
        <f t="shared" si="16"/>
        <v>0</v>
      </c>
      <c r="M113" s="336"/>
      <c r="N113" s="345">
        <f>Données!S113</f>
        <v>10489039.550000001</v>
      </c>
      <c r="O113" s="345">
        <f>Données!T113</f>
        <v>20473792.800000001</v>
      </c>
      <c r="P113" s="345">
        <f>Données!U113</f>
        <v>10094383.85</v>
      </c>
      <c r="Q113" s="318">
        <f>Données!V113</f>
        <v>16253442.75</v>
      </c>
      <c r="R113" s="302">
        <f t="shared" si="11"/>
        <v>25404640.925000001</v>
      </c>
      <c r="S113" s="322">
        <f t="shared" si="12"/>
        <v>-29282902.995634954</v>
      </c>
      <c r="T113" s="323">
        <f t="shared" si="17"/>
        <v>-3878262.0706349537</v>
      </c>
    </row>
    <row r="114" spans="1:20" x14ac:dyDescent="0.25">
      <c r="A114" s="148">
        <f>Données!A114</f>
        <v>5587</v>
      </c>
      <c r="B114" s="160" t="str">
        <f>Données!B114</f>
        <v>Le Mont-sur-Lausanne</v>
      </c>
      <c r="C114" s="321">
        <f>Données!C114</f>
        <v>9543</v>
      </c>
      <c r="D114" s="318">
        <f>RFS!W114</f>
        <v>34905635.882037871</v>
      </c>
      <c r="E114" s="336"/>
      <c r="F114" s="342">
        <f t="shared" si="9"/>
        <v>3657.7214588743445</v>
      </c>
      <c r="G114" s="336">
        <f t="shared" si="13"/>
        <v>317.30679645150212</v>
      </c>
      <c r="H114" s="343">
        <f t="shared" si="10"/>
        <v>2422447.0068293479</v>
      </c>
      <c r="I114" s="313"/>
      <c r="J114" s="344">
        <f t="shared" si="14"/>
        <v>3403.876021713143</v>
      </c>
      <c r="K114" s="344">
        <f t="shared" si="15"/>
        <v>0</v>
      </c>
      <c r="L114" s="343">
        <f t="shared" si="16"/>
        <v>0</v>
      </c>
      <c r="M114" s="336"/>
      <c r="N114" s="345">
        <f>Données!S114</f>
        <v>2161285.85</v>
      </c>
      <c r="O114" s="345">
        <f>Données!T114</f>
        <v>1315011.5</v>
      </c>
      <c r="P114" s="345">
        <f>Données!U114</f>
        <v>1254648.8999999999</v>
      </c>
      <c r="Q114" s="318">
        <f>Données!V114</f>
        <v>698780.8</v>
      </c>
      <c r="R114" s="302">
        <f t="shared" si="11"/>
        <v>2575107.3650000002</v>
      </c>
      <c r="S114" s="322">
        <f t="shared" si="12"/>
        <v>-1926727.271574456</v>
      </c>
      <c r="T114" s="323">
        <f t="shared" si="17"/>
        <v>648380.09342554421</v>
      </c>
    </row>
    <row r="115" spans="1:20" x14ac:dyDescent="0.25">
      <c r="A115" s="148">
        <f>Données!A115</f>
        <v>5588</v>
      </c>
      <c r="B115" s="160" t="str">
        <f>Données!B115</f>
        <v>Paudex</v>
      </c>
      <c r="C115" s="321">
        <f>Données!C115</f>
        <v>1512</v>
      </c>
      <c r="D115" s="318">
        <f>RFS!W115</f>
        <v>9439726.8232631329</v>
      </c>
      <c r="E115" s="336"/>
      <c r="F115" s="342">
        <f t="shared" si="9"/>
        <v>6243.2055709412252</v>
      </c>
      <c r="G115" s="336">
        <f t="shared" si="13"/>
        <v>2902.7909085183828</v>
      </c>
      <c r="H115" s="343">
        <f t="shared" si="10"/>
        <v>3511215.882943836</v>
      </c>
      <c r="I115" s="313"/>
      <c r="J115" s="344">
        <f t="shared" si="14"/>
        <v>3920.9728441265188</v>
      </c>
      <c r="K115" s="344">
        <f t="shared" si="15"/>
        <v>0</v>
      </c>
      <c r="L115" s="343">
        <f t="shared" si="16"/>
        <v>0</v>
      </c>
      <c r="M115" s="336"/>
      <c r="N115" s="345">
        <f>Données!S115</f>
        <v>478500</v>
      </c>
      <c r="O115" s="345">
        <f>Données!T115</f>
        <v>128432.8</v>
      </c>
      <c r="P115" s="345">
        <f>Données!U115</f>
        <v>364204.2</v>
      </c>
      <c r="Q115" s="318">
        <f>Données!V115</f>
        <v>34364.300000000003</v>
      </c>
      <c r="R115" s="302">
        <f t="shared" si="11"/>
        <v>495877.79</v>
      </c>
      <c r="S115" s="322">
        <f t="shared" si="12"/>
        <v>-305272.09835697134</v>
      </c>
      <c r="T115" s="323">
        <f t="shared" si="17"/>
        <v>190605.69164302864</v>
      </c>
    </row>
    <row r="116" spans="1:20" x14ac:dyDescent="0.25">
      <c r="A116" s="148">
        <f>Données!A116</f>
        <v>5589</v>
      </c>
      <c r="B116" s="160" t="str">
        <f>Données!B116</f>
        <v>Prilly</v>
      </c>
      <c r="C116" s="321">
        <f>Données!C116</f>
        <v>12766</v>
      </c>
      <c r="D116" s="318">
        <f>RFS!W116</f>
        <v>30156448.863260631</v>
      </c>
      <c r="E116" s="336"/>
      <c r="F116" s="342">
        <f t="shared" si="9"/>
        <v>2362.2472867977935</v>
      </c>
      <c r="G116" s="336">
        <f t="shared" si="13"/>
        <v>-978.16737562504886</v>
      </c>
      <c r="H116" s="343">
        <f t="shared" si="10"/>
        <v>-9989827.7737834994</v>
      </c>
      <c r="I116" s="313"/>
      <c r="J116" s="344">
        <f t="shared" si="14"/>
        <v>3144.7811872978327</v>
      </c>
      <c r="K116" s="344">
        <f t="shared" si="15"/>
        <v>0</v>
      </c>
      <c r="L116" s="343">
        <f t="shared" si="16"/>
        <v>0</v>
      </c>
      <c r="M116" s="336"/>
      <c r="N116" s="345">
        <f>Données!S116</f>
        <v>2442509.2999999998</v>
      </c>
      <c r="O116" s="345">
        <f>Données!T116</f>
        <v>1324232.3</v>
      </c>
      <c r="P116" s="345">
        <f>Données!U116</f>
        <v>1007328.6</v>
      </c>
      <c r="Q116" s="318">
        <f>Données!V116</f>
        <v>1500022</v>
      </c>
      <c r="R116" s="302">
        <f t="shared" si="11"/>
        <v>2837041.6999999997</v>
      </c>
      <c r="S116" s="322">
        <f t="shared" si="12"/>
        <v>-2577449.4759425237</v>
      </c>
      <c r="T116" s="323">
        <f t="shared" si="17"/>
        <v>259592.22405747604</v>
      </c>
    </row>
    <row r="117" spans="1:20" x14ac:dyDescent="0.25">
      <c r="A117" s="148">
        <f>Données!A117</f>
        <v>5590</v>
      </c>
      <c r="B117" s="160" t="str">
        <f>Données!B117</f>
        <v>Pully</v>
      </c>
      <c r="C117" s="321">
        <f>Données!C117</f>
        <v>19545</v>
      </c>
      <c r="D117" s="318">
        <f>RFS!W117</f>
        <v>111967886.07706796</v>
      </c>
      <c r="E117" s="336"/>
      <c r="F117" s="342">
        <f t="shared" si="9"/>
        <v>5728.7227463324616</v>
      </c>
      <c r="G117" s="336">
        <f t="shared" si="13"/>
        <v>2388.3080839096192</v>
      </c>
      <c r="H117" s="343">
        <f t="shared" si="10"/>
        <v>37343585.200010806</v>
      </c>
      <c r="I117" s="313"/>
      <c r="J117" s="344">
        <f t="shared" si="14"/>
        <v>3818.0762792047663</v>
      </c>
      <c r="K117" s="344">
        <f t="shared" si="15"/>
        <v>0</v>
      </c>
      <c r="L117" s="343">
        <f t="shared" si="16"/>
        <v>0</v>
      </c>
      <c r="M117" s="336"/>
      <c r="N117" s="345">
        <f>Données!S117</f>
        <v>3492581.6</v>
      </c>
      <c r="O117" s="345">
        <f>Données!T117</f>
        <v>8023657.0999999996</v>
      </c>
      <c r="P117" s="345">
        <f>Données!U117</f>
        <v>2955823.95</v>
      </c>
      <c r="Q117" s="318">
        <f>Données!V117</f>
        <v>214274.9</v>
      </c>
      <c r="R117" s="302">
        <f t="shared" si="11"/>
        <v>7300313.794999999</v>
      </c>
      <c r="S117" s="322">
        <f t="shared" si="12"/>
        <v>-3946126.4301501354</v>
      </c>
      <c r="T117" s="323">
        <f t="shared" si="17"/>
        <v>3354187.3648498636</v>
      </c>
    </row>
    <row r="118" spans="1:20" x14ac:dyDescent="0.25">
      <c r="A118" s="148">
        <f>Données!A118</f>
        <v>5591</v>
      </c>
      <c r="B118" s="160" t="str">
        <f>Données!B118</f>
        <v>Renens</v>
      </c>
      <c r="C118" s="321">
        <f>Données!C118</f>
        <v>21568</v>
      </c>
      <c r="D118" s="318">
        <f>RFS!W118</f>
        <v>43257622.099149384</v>
      </c>
      <c r="E118" s="336"/>
      <c r="F118" s="342">
        <f t="shared" si="9"/>
        <v>2005.6390068225789</v>
      </c>
      <c r="G118" s="336">
        <f t="shared" si="13"/>
        <v>-1334.7756556002635</v>
      </c>
      <c r="H118" s="343">
        <f t="shared" si="10"/>
        <v>-23030753.07198919</v>
      </c>
      <c r="I118" s="313"/>
      <c r="J118" s="344">
        <f t="shared" si="14"/>
        <v>3073.4595313027899</v>
      </c>
      <c r="K118" s="344">
        <f t="shared" si="15"/>
        <v>0</v>
      </c>
      <c r="L118" s="343">
        <f t="shared" si="16"/>
        <v>0</v>
      </c>
      <c r="M118" s="336"/>
      <c r="N118" s="345">
        <f>Données!S118</f>
        <v>2011327.45</v>
      </c>
      <c r="O118" s="345">
        <f>Données!T118</f>
        <v>705377.6</v>
      </c>
      <c r="P118" s="345">
        <f>Données!U118</f>
        <v>742784.25</v>
      </c>
      <c r="Q118" s="318">
        <f>Données!V118</f>
        <v>3356012.3</v>
      </c>
      <c r="R118" s="302">
        <f t="shared" si="11"/>
        <v>2736548.34</v>
      </c>
      <c r="S118" s="322">
        <f t="shared" si="12"/>
        <v>-4354569.1913777497</v>
      </c>
      <c r="T118" s="323">
        <f t="shared" si="17"/>
        <v>-1618020.8513777498</v>
      </c>
    </row>
    <row r="119" spans="1:20" x14ac:dyDescent="0.25">
      <c r="A119" s="148">
        <f>Données!A119</f>
        <v>5592</v>
      </c>
      <c r="B119" s="160" t="str">
        <f>Données!B119</f>
        <v>Romanel-sur-Lausanne</v>
      </c>
      <c r="C119" s="321">
        <f>Données!C119</f>
        <v>4325</v>
      </c>
      <c r="D119" s="318">
        <f>RFS!W119</f>
        <v>9967134.8186016157</v>
      </c>
      <c r="E119" s="336"/>
      <c r="F119" s="342">
        <f t="shared" si="9"/>
        <v>2304.5398424512405</v>
      </c>
      <c r="G119" s="336">
        <f t="shared" si="13"/>
        <v>-1035.8748199716019</v>
      </c>
      <c r="H119" s="343">
        <f t="shared" si="10"/>
        <v>-3584126.8771017427</v>
      </c>
      <c r="I119" s="313"/>
      <c r="J119" s="344">
        <f t="shared" si="14"/>
        <v>3133.2396984285219</v>
      </c>
      <c r="K119" s="344">
        <f t="shared" si="15"/>
        <v>0</v>
      </c>
      <c r="L119" s="343">
        <f t="shared" si="16"/>
        <v>0</v>
      </c>
      <c r="M119" s="336"/>
      <c r="N119" s="345">
        <f>Données!S119</f>
        <v>979823</v>
      </c>
      <c r="O119" s="345">
        <f>Données!T119</f>
        <v>4877.7</v>
      </c>
      <c r="P119" s="345">
        <f>Données!U119</f>
        <v>254078.9</v>
      </c>
      <c r="Q119" s="318">
        <f>Données!V119</f>
        <v>474069.5</v>
      </c>
      <c r="R119" s="302">
        <f t="shared" si="11"/>
        <v>761610.64999999991</v>
      </c>
      <c r="S119" s="322">
        <f t="shared" si="12"/>
        <v>-873215.49298538431</v>
      </c>
      <c r="T119" s="323">
        <f t="shared" si="17"/>
        <v>-111604.8429853844</v>
      </c>
    </row>
    <row r="120" spans="1:20" x14ac:dyDescent="0.25">
      <c r="A120" s="148">
        <f>Données!A120</f>
        <v>5601</v>
      </c>
      <c r="B120" s="160" t="str">
        <f>Données!B120</f>
        <v>Chexbres</v>
      </c>
      <c r="C120" s="321">
        <f>Données!C120</f>
        <v>2263</v>
      </c>
      <c r="D120" s="318">
        <f>RFS!W120</f>
        <v>7490826.8130073156</v>
      </c>
      <c r="E120" s="336"/>
      <c r="F120" s="342">
        <f t="shared" si="9"/>
        <v>3310.1311590840987</v>
      </c>
      <c r="G120" s="336">
        <f t="shared" si="13"/>
        <v>-30.283503338743685</v>
      </c>
      <c r="H120" s="343">
        <f t="shared" si="10"/>
        <v>-54825.254444461571</v>
      </c>
      <c r="I120" s="313"/>
      <c r="J120" s="344">
        <f t="shared" si="14"/>
        <v>3334.3579617550936</v>
      </c>
      <c r="K120" s="344">
        <f t="shared" si="15"/>
        <v>0</v>
      </c>
      <c r="L120" s="343">
        <f t="shared" si="16"/>
        <v>0</v>
      </c>
      <c r="M120" s="336"/>
      <c r="N120" s="345">
        <f>Données!S120</f>
        <v>383839.4</v>
      </c>
      <c r="O120" s="345">
        <f>Données!T120</f>
        <v>183330.30000000005</v>
      </c>
      <c r="P120" s="345">
        <f>Données!U120</f>
        <v>337287.75</v>
      </c>
      <c r="Q120" s="318">
        <f>Données!V120</f>
        <v>68693.5</v>
      </c>
      <c r="R120" s="302">
        <f t="shared" si="11"/>
        <v>472836.77500000002</v>
      </c>
      <c r="S120" s="322">
        <f t="shared" si="12"/>
        <v>-456898.64985570509</v>
      </c>
      <c r="T120" s="323">
        <f t="shared" si="17"/>
        <v>15938.125144294929</v>
      </c>
    </row>
    <row r="121" spans="1:20" x14ac:dyDescent="0.25">
      <c r="A121" s="148">
        <f>Données!A121</f>
        <v>5604</v>
      </c>
      <c r="B121" s="160" t="str">
        <f>Données!B121</f>
        <v>Forel (Lavaux)</v>
      </c>
      <c r="C121" s="321">
        <f>Données!C121</f>
        <v>2088</v>
      </c>
      <c r="D121" s="318">
        <f>RFS!W121</f>
        <v>5011440.3797887284</v>
      </c>
      <c r="E121" s="336"/>
      <c r="F121" s="342">
        <f t="shared" si="9"/>
        <v>2400.1151244198891</v>
      </c>
      <c r="G121" s="336">
        <f t="shared" si="13"/>
        <v>-940.29953800295334</v>
      </c>
      <c r="H121" s="343">
        <f t="shared" si="10"/>
        <v>-1570676.3482801334</v>
      </c>
      <c r="I121" s="313"/>
      <c r="J121" s="344">
        <f t="shared" si="14"/>
        <v>3152.3547548222518</v>
      </c>
      <c r="K121" s="344">
        <f t="shared" si="15"/>
        <v>0</v>
      </c>
      <c r="L121" s="343">
        <f t="shared" si="16"/>
        <v>0</v>
      </c>
      <c r="M121" s="336"/>
      <c r="N121" s="345">
        <f>Données!S121</f>
        <v>206732.85</v>
      </c>
      <c r="O121" s="345">
        <f>Données!T121</f>
        <v>14392.4</v>
      </c>
      <c r="P121" s="345">
        <f>Données!U121</f>
        <v>117453.2</v>
      </c>
      <c r="Q121" s="318">
        <f>Données!V121</f>
        <v>146412.75</v>
      </c>
      <c r="R121" s="302">
        <f t="shared" si="11"/>
        <v>213213.05</v>
      </c>
      <c r="S121" s="322">
        <f t="shared" si="12"/>
        <v>-421566.23106438899</v>
      </c>
      <c r="T121" s="323">
        <f t="shared" si="17"/>
        <v>-208353.18106438901</v>
      </c>
    </row>
    <row r="122" spans="1:20" x14ac:dyDescent="0.25">
      <c r="A122" s="148">
        <f>Données!A122</f>
        <v>5606</v>
      </c>
      <c r="B122" s="160" t="str">
        <f>Données!B122</f>
        <v>Lutry</v>
      </c>
      <c r="C122" s="321">
        <f>Données!C122</f>
        <v>10750</v>
      </c>
      <c r="D122" s="318">
        <f>RFS!W122</f>
        <v>64138022.112195812</v>
      </c>
      <c r="E122" s="336"/>
      <c r="F122" s="342">
        <f t="shared" si="9"/>
        <v>5966.3276383437969</v>
      </c>
      <c r="G122" s="336">
        <f t="shared" si="13"/>
        <v>2625.9129759209545</v>
      </c>
      <c r="H122" s="343">
        <f t="shared" si="10"/>
        <v>22582851.59292021</v>
      </c>
      <c r="I122" s="313"/>
      <c r="J122" s="344">
        <f t="shared" si="14"/>
        <v>3865.597257607033</v>
      </c>
      <c r="K122" s="344">
        <f t="shared" si="15"/>
        <v>0</v>
      </c>
      <c r="L122" s="343">
        <f t="shared" si="16"/>
        <v>0</v>
      </c>
      <c r="M122" s="336"/>
      <c r="N122" s="345">
        <f>Données!S122</f>
        <v>2351516.65</v>
      </c>
      <c r="O122" s="345">
        <f>Données!T122</f>
        <v>2701235.1</v>
      </c>
      <c r="P122" s="345">
        <f>Données!U122</f>
        <v>2867934.8</v>
      </c>
      <c r="Q122" s="318">
        <f>Données!V122</f>
        <v>103658.9</v>
      </c>
      <c r="R122" s="302">
        <f t="shared" si="11"/>
        <v>3991440.9449999998</v>
      </c>
      <c r="S122" s="322">
        <f t="shared" si="12"/>
        <v>-2170420.0114665623</v>
      </c>
      <c r="T122" s="323">
        <f t="shared" si="17"/>
        <v>1821020.9335334376</v>
      </c>
    </row>
    <row r="123" spans="1:20" x14ac:dyDescent="0.25">
      <c r="A123" s="148">
        <f>Données!A123</f>
        <v>5607</v>
      </c>
      <c r="B123" s="160" t="str">
        <f>Données!B123</f>
        <v>Puidoux</v>
      </c>
      <c r="C123" s="321">
        <f>Données!C123</f>
        <v>2976</v>
      </c>
      <c r="D123" s="318">
        <f>RFS!W123</f>
        <v>9245784.1369049046</v>
      </c>
      <c r="E123" s="336"/>
      <c r="F123" s="342">
        <f t="shared" si="9"/>
        <v>3106.7823040675084</v>
      </c>
      <c r="G123" s="336">
        <f t="shared" si="13"/>
        <v>-233.63235835533396</v>
      </c>
      <c r="H123" s="343">
        <f t="shared" si="10"/>
        <v>-556231.91877237917</v>
      </c>
      <c r="I123" s="313"/>
      <c r="J123" s="344">
        <f t="shared" si="14"/>
        <v>3293.6881907517754</v>
      </c>
      <c r="K123" s="344">
        <f t="shared" si="15"/>
        <v>0</v>
      </c>
      <c r="L123" s="343">
        <f t="shared" si="16"/>
        <v>0</v>
      </c>
      <c r="M123" s="336"/>
      <c r="N123" s="345">
        <f>Données!S123</f>
        <v>195058.35</v>
      </c>
      <c r="O123" s="345">
        <f>Données!T123</f>
        <v>28567.3</v>
      </c>
      <c r="P123" s="345">
        <f>Données!U123</f>
        <v>163170.20000000001</v>
      </c>
      <c r="Q123" s="318">
        <f>Données!V123</f>
        <v>235969.2</v>
      </c>
      <c r="R123" s="302">
        <f t="shared" si="11"/>
        <v>264188.685</v>
      </c>
      <c r="S123" s="322">
        <f t="shared" si="12"/>
        <v>-600853.01898832456</v>
      </c>
      <c r="T123" s="323">
        <f t="shared" si="17"/>
        <v>-336664.33398832456</v>
      </c>
    </row>
    <row r="124" spans="1:20" x14ac:dyDescent="0.25">
      <c r="A124" s="148">
        <f>Données!A124</f>
        <v>5609</v>
      </c>
      <c r="B124" s="160" t="str">
        <f>Données!B124</f>
        <v>Rivaz</v>
      </c>
      <c r="C124" s="321">
        <f>Données!C124</f>
        <v>329</v>
      </c>
      <c r="D124" s="318">
        <f>RFS!W124</f>
        <v>1045025.8101146615</v>
      </c>
      <c r="E124" s="336"/>
      <c r="F124" s="342">
        <f t="shared" si="9"/>
        <v>3176.3702435096093</v>
      </c>
      <c r="G124" s="336">
        <f t="shared" si="13"/>
        <v>-164.04441891323313</v>
      </c>
      <c r="H124" s="343">
        <f t="shared" si="10"/>
        <v>-43176.491057962958</v>
      </c>
      <c r="I124" s="313"/>
      <c r="J124" s="344">
        <f t="shared" si="14"/>
        <v>3307.6057786401957</v>
      </c>
      <c r="K124" s="344">
        <f t="shared" si="15"/>
        <v>0</v>
      </c>
      <c r="L124" s="343">
        <f t="shared" si="16"/>
        <v>0</v>
      </c>
      <c r="M124" s="336"/>
      <c r="N124" s="345">
        <f>Données!S124</f>
        <v>76825.899999999994</v>
      </c>
      <c r="O124" s="345">
        <f>Données!T124</f>
        <v>0</v>
      </c>
      <c r="P124" s="345">
        <f>Données!U124</f>
        <v>39861.449999999997</v>
      </c>
      <c r="Q124" s="318">
        <f>Données!V124</f>
        <v>0</v>
      </c>
      <c r="R124" s="302">
        <f t="shared" si="11"/>
        <v>58343.674999999996</v>
      </c>
      <c r="S124" s="322">
        <f t="shared" si="12"/>
        <v>-66424.947327674323</v>
      </c>
      <c r="T124" s="323">
        <f t="shared" si="17"/>
        <v>-8081.2723276743272</v>
      </c>
    </row>
    <row r="125" spans="1:20" x14ac:dyDescent="0.25">
      <c r="A125" s="148">
        <f>Données!A125</f>
        <v>5610</v>
      </c>
      <c r="B125" s="160" t="str">
        <f>Données!B125</f>
        <v>St-Saphorin (Lavaux)</v>
      </c>
      <c r="C125" s="321">
        <f>Données!C125</f>
        <v>389</v>
      </c>
      <c r="D125" s="318">
        <f>RFS!W125</f>
        <v>1201690.3437867181</v>
      </c>
      <c r="E125" s="336"/>
      <c r="F125" s="342">
        <f t="shared" si="9"/>
        <v>3089.1782616625142</v>
      </c>
      <c r="G125" s="336">
        <f t="shared" si="13"/>
        <v>-251.23640076032825</v>
      </c>
      <c r="H125" s="343">
        <f t="shared" si="10"/>
        <v>-78184.767916614161</v>
      </c>
      <c r="I125" s="313"/>
      <c r="J125" s="344">
        <f t="shared" si="14"/>
        <v>3290.1673822707767</v>
      </c>
      <c r="K125" s="344">
        <f t="shared" si="15"/>
        <v>0</v>
      </c>
      <c r="L125" s="343">
        <f t="shared" si="16"/>
        <v>0</v>
      </c>
      <c r="M125" s="336"/>
      <c r="N125" s="345">
        <f>Données!S125</f>
        <v>38672.449999999997</v>
      </c>
      <c r="O125" s="345">
        <f>Données!T125</f>
        <v>21410.799999999999</v>
      </c>
      <c r="P125" s="345">
        <f>Données!U125</f>
        <v>6135.1</v>
      </c>
      <c r="Q125" s="318">
        <f>Données!V125</f>
        <v>0</v>
      </c>
      <c r="R125" s="302">
        <f t="shared" si="11"/>
        <v>33109.175000000003</v>
      </c>
      <c r="S125" s="322">
        <f t="shared" si="12"/>
        <v>-78538.919484696991</v>
      </c>
      <c r="T125" s="323">
        <f t="shared" si="17"/>
        <v>-45429.744484696988</v>
      </c>
    </row>
    <row r="126" spans="1:20" x14ac:dyDescent="0.25">
      <c r="A126" s="148">
        <f>Données!A126</f>
        <v>5611</v>
      </c>
      <c r="B126" s="160" t="str">
        <f>Données!B126</f>
        <v>Savigny</v>
      </c>
      <c r="C126" s="321">
        <f>Données!C126</f>
        <v>3506</v>
      </c>
      <c r="D126" s="318">
        <f>RFS!W126</f>
        <v>10632499.31873937</v>
      </c>
      <c r="E126" s="336"/>
      <c r="F126" s="342">
        <f t="shared" si="9"/>
        <v>3032.6581057442581</v>
      </c>
      <c r="G126" s="336">
        <f t="shared" si="13"/>
        <v>-307.75655667858427</v>
      </c>
      <c r="H126" s="343">
        <f t="shared" si="10"/>
        <v>-863195.59017209325</v>
      </c>
      <c r="I126" s="313"/>
      <c r="J126" s="344">
        <f t="shared" si="14"/>
        <v>3278.8633510871255</v>
      </c>
      <c r="K126" s="344">
        <f t="shared" si="15"/>
        <v>0</v>
      </c>
      <c r="L126" s="343">
        <f t="shared" si="16"/>
        <v>0</v>
      </c>
      <c r="M126" s="336"/>
      <c r="N126" s="345">
        <f>Données!S126</f>
        <v>564776.25</v>
      </c>
      <c r="O126" s="345">
        <f>Données!T126</f>
        <v>415378.3</v>
      </c>
      <c r="P126" s="345">
        <f>Données!U126</f>
        <v>387356.1</v>
      </c>
      <c r="Q126" s="318">
        <f>Données!V126</f>
        <v>157458</v>
      </c>
      <c r="R126" s="302">
        <f t="shared" si="11"/>
        <v>730992.72499999998</v>
      </c>
      <c r="S126" s="322">
        <f t="shared" si="12"/>
        <v>-707859.77304202481</v>
      </c>
      <c r="T126" s="323">
        <f t="shared" si="17"/>
        <v>23132.951957975165</v>
      </c>
    </row>
    <row r="127" spans="1:20" x14ac:dyDescent="0.25">
      <c r="A127" s="148">
        <f>Données!A127</f>
        <v>5613</v>
      </c>
      <c r="B127" s="160" t="str">
        <f>Données!B127</f>
        <v>Bourg-en-Lavaux</v>
      </c>
      <c r="C127" s="321">
        <f>Données!C127</f>
        <v>5465</v>
      </c>
      <c r="D127" s="318">
        <f>RFS!W127</f>
        <v>24274201.667449515</v>
      </c>
      <c r="E127" s="336"/>
      <c r="F127" s="342">
        <f t="shared" si="9"/>
        <v>4441.7569382341289</v>
      </c>
      <c r="G127" s="336">
        <f t="shared" si="13"/>
        <v>1101.3422758112865</v>
      </c>
      <c r="H127" s="343">
        <f t="shared" si="10"/>
        <v>4815068.4298469452</v>
      </c>
      <c r="I127" s="313"/>
      <c r="J127" s="344">
        <f t="shared" si="14"/>
        <v>3560.6831175850994</v>
      </c>
      <c r="K127" s="344">
        <f t="shared" si="15"/>
        <v>0</v>
      </c>
      <c r="L127" s="343">
        <f t="shared" si="16"/>
        <v>0</v>
      </c>
      <c r="M127" s="336"/>
      <c r="N127" s="345">
        <f>Données!S127</f>
        <v>1093889.5</v>
      </c>
      <c r="O127" s="345">
        <f>Données!T127</f>
        <v>438905.3</v>
      </c>
      <c r="P127" s="345">
        <f>Données!U127</f>
        <v>1157436.8999999999</v>
      </c>
      <c r="Q127" s="318">
        <f>Données!V127</f>
        <v>49424.6</v>
      </c>
      <c r="R127" s="302">
        <f t="shared" si="11"/>
        <v>1359943.23</v>
      </c>
      <c r="S127" s="322">
        <f t="shared" si="12"/>
        <v>-1103380.963968815</v>
      </c>
      <c r="T127" s="323">
        <f t="shared" si="17"/>
        <v>256562.26603118493</v>
      </c>
    </row>
    <row r="128" spans="1:20" x14ac:dyDescent="0.25">
      <c r="A128" s="148">
        <f>Données!A128</f>
        <v>5621</v>
      </c>
      <c r="B128" s="160" t="str">
        <f>Données!B128</f>
        <v>Aclens</v>
      </c>
      <c r="C128" s="321">
        <f>Données!C128</f>
        <v>587</v>
      </c>
      <c r="D128" s="318">
        <f>RFS!W128</f>
        <v>2061864.8011401654</v>
      </c>
      <c r="E128" s="336"/>
      <c r="F128" s="342">
        <f t="shared" si="9"/>
        <v>3512.546509608459</v>
      </c>
      <c r="G128" s="336">
        <f t="shared" si="13"/>
        <v>172.13184718561661</v>
      </c>
      <c r="H128" s="343">
        <f t="shared" si="10"/>
        <v>80833.115438365552</v>
      </c>
      <c r="I128" s="313"/>
      <c r="J128" s="344">
        <f t="shared" si="14"/>
        <v>3374.8410318599658</v>
      </c>
      <c r="K128" s="344">
        <f t="shared" si="15"/>
        <v>0</v>
      </c>
      <c r="L128" s="343">
        <f t="shared" si="16"/>
        <v>0</v>
      </c>
      <c r="M128" s="336"/>
      <c r="N128" s="345">
        <f>Données!S128</f>
        <v>50132.65</v>
      </c>
      <c r="O128" s="345">
        <f>Données!T128</f>
        <v>0</v>
      </c>
      <c r="P128" s="345">
        <f>Données!U128</f>
        <v>98856.7</v>
      </c>
      <c r="Q128" s="318">
        <f>Données!V128</f>
        <v>422976.25</v>
      </c>
      <c r="R128" s="302">
        <f t="shared" si="11"/>
        <v>201387.55</v>
      </c>
      <c r="S128" s="322">
        <f t="shared" si="12"/>
        <v>-118515.02760287181</v>
      </c>
      <c r="T128" s="323">
        <f t="shared" si="17"/>
        <v>82872.522397128181</v>
      </c>
    </row>
    <row r="129" spans="1:20" x14ac:dyDescent="0.25">
      <c r="A129" s="148">
        <f>Données!A129</f>
        <v>5622</v>
      </c>
      <c r="B129" s="160" t="str">
        <f>Données!B129</f>
        <v>Bremblens</v>
      </c>
      <c r="C129" s="321">
        <f>Données!C129</f>
        <v>615</v>
      </c>
      <c r="D129" s="318">
        <f>RFS!W129</f>
        <v>2001961.4409384409</v>
      </c>
      <c r="E129" s="336"/>
      <c r="F129" s="342">
        <f t="shared" si="9"/>
        <v>3255.2218551844567</v>
      </c>
      <c r="G129" s="336">
        <f t="shared" si="13"/>
        <v>-85.19280723838574</v>
      </c>
      <c r="H129" s="343">
        <f t="shared" si="10"/>
        <v>-41914.861161285786</v>
      </c>
      <c r="I129" s="313"/>
      <c r="J129" s="344">
        <f t="shared" si="14"/>
        <v>3323.3761009751652</v>
      </c>
      <c r="K129" s="344">
        <f t="shared" si="15"/>
        <v>0</v>
      </c>
      <c r="L129" s="343">
        <f t="shared" si="16"/>
        <v>0</v>
      </c>
      <c r="M129" s="336"/>
      <c r="N129" s="345">
        <f>Données!S129</f>
        <v>19752.45</v>
      </c>
      <c r="O129" s="345">
        <f>Données!T129</f>
        <v>0</v>
      </c>
      <c r="P129" s="345">
        <f>Données!U129</f>
        <v>16061.2</v>
      </c>
      <c r="Q129" s="318">
        <f>Données!V129</f>
        <v>38318.949999999997</v>
      </c>
      <c r="R129" s="302">
        <f t="shared" si="11"/>
        <v>29402.510000000002</v>
      </c>
      <c r="S129" s="322">
        <f t="shared" si="12"/>
        <v>-124168.21460948238</v>
      </c>
      <c r="T129" s="323">
        <f t="shared" si="17"/>
        <v>-94765.704609482375</v>
      </c>
    </row>
    <row r="130" spans="1:20" x14ac:dyDescent="0.25">
      <c r="A130" s="148">
        <f>Données!A130</f>
        <v>5623</v>
      </c>
      <c r="B130" s="160" t="str">
        <f>Données!B130</f>
        <v>Buchillon</v>
      </c>
      <c r="C130" s="321">
        <f>Données!C130</f>
        <v>686</v>
      </c>
      <c r="D130" s="318">
        <f>RFS!W130</f>
        <v>6820967.0917268097</v>
      </c>
      <c r="E130" s="336"/>
      <c r="F130" s="342">
        <f t="shared" si="9"/>
        <v>9943.10071680293</v>
      </c>
      <c r="G130" s="336">
        <f t="shared" si="13"/>
        <v>6602.6860543800876</v>
      </c>
      <c r="H130" s="343">
        <f t="shared" si="10"/>
        <v>3623554.1066437922</v>
      </c>
      <c r="I130" s="313"/>
      <c r="J130" s="344">
        <f t="shared" si="14"/>
        <v>4660.9518732988599</v>
      </c>
      <c r="K130" s="344">
        <f t="shared" si="15"/>
        <v>0</v>
      </c>
      <c r="L130" s="343">
        <f t="shared" si="16"/>
        <v>0</v>
      </c>
      <c r="M130" s="336"/>
      <c r="N130" s="345">
        <f>Données!S130</f>
        <v>247775</v>
      </c>
      <c r="O130" s="345">
        <f>Données!T130</f>
        <v>4546.8</v>
      </c>
      <c r="P130" s="345">
        <f>Données!U130</f>
        <v>810358.3</v>
      </c>
      <c r="Q130" s="318">
        <f>Données!V130</f>
        <v>10824.9</v>
      </c>
      <c r="R130" s="302">
        <f t="shared" si="11"/>
        <v>534587.52</v>
      </c>
      <c r="S130" s="322">
        <f t="shared" si="12"/>
        <v>-138503.08166195921</v>
      </c>
      <c r="T130" s="323">
        <f t="shared" si="17"/>
        <v>396084.43833804084</v>
      </c>
    </row>
    <row r="131" spans="1:20" x14ac:dyDescent="0.25">
      <c r="A131" s="148">
        <f>Données!A131</f>
        <v>5624</v>
      </c>
      <c r="B131" s="160" t="str">
        <f>Données!B131</f>
        <v>Bussigny</v>
      </c>
      <c r="C131" s="321">
        <f>Données!C131</f>
        <v>11667</v>
      </c>
      <c r="D131" s="318">
        <f>RFS!W131</f>
        <v>26819104.411507357</v>
      </c>
      <c r="E131" s="336"/>
      <c r="F131" s="342">
        <f t="shared" si="9"/>
        <v>2298.7147005663287</v>
      </c>
      <c r="G131" s="336">
        <f t="shared" si="13"/>
        <v>-1041.6999618565137</v>
      </c>
      <c r="H131" s="343">
        <f t="shared" si="10"/>
        <v>-9722810.7639839556</v>
      </c>
      <c r="I131" s="313"/>
      <c r="J131" s="344">
        <f t="shared" si="14"/>
        <v>3132.0746700515397</v>
      </c>
      <c r="K131" s="344">
        <f t="shared" si="15"/>
        <v>0</v>
      </c>
      <c r="L131" s="343">
        <f t="shared" si="16"/>
        <v>0</v>
      </c>
      <c r="M131" s="336"/>
      <c r="N131" s="345">
        <f>Données!S131</f>
        <v>1026139.85</v>
      </c>
      <c r="O131" s="345">
        <f>Données!T131</f>
        <v>118238.5</v>
      </c>
      <c r="P131" s="345">
        <f>Données!U131</f>
        <v>384278.7</v>
      </c>
      <c r="Q131" s="318">
        <f>Données!V131</f>
        <v>1643421.65</v>
      </c>
      <c r="R131" s="302">
        <f t="shared" si="11"/>
        <v>1257355.02</v>
      </c>
      <c r="S131" s="322">
        <f t="shared" si="12"/>
        <v>-2355561.8859330588</v>
      </c>
      <c r="T131" s="323">
        <f t="shared" si="17"/>
        <v>-1098206.8659330588</v>
      </c>
    </row>
    <row r="132" spans="1:20" x14ac:dyDescent="0.25">
      <c r="A132" s="148">
        <f>Données!A132</f>
        <v>5627</v>
      </c>
      <c r="B132" s="160" t="str">
        <f>Données!B132</f>
        <v>Chavannes-près-Renens</v>
      </c>
      <c r="C132" s="321">
        <f>Données!C132</f>
        <v>9771</v>
      </c>
      <c r="D132" s="318">
        <f>RFS!W132</f>
        <v>14023636.149596149</v>
      </c>
      <c r="E132" s="336"/>
      <c r="F132" s="342">
        <f t="shared" si="9"/>
        <v>1435.230390911488</v>
      </c>
      <c r="G132" s="336">
        <f t="shared" si="13"/>
        <v>-1905.1842715113544</v>
      </c>
      <c r="H132" s="343">
        <f t="shared" si="10"/>
        <v>-14892444.413549956</v>
      </c>
      <c r="I132" s="313"/>
      <c r="J132" s="344">
        <f t="shared" si="14"/>
        <v>2959.3778081205719</v>
      </c>
      <c r="K132" s="344">
        <f t="shared" si="15"/>
        <v>-46.995388059984634</v>
      </c>
      <c r="L132" s="343">
        <f t="shared" si="16"/>
        <v>-459192</v>
      </c>
      <c r="M132" s="336"/>
      <c r="N132" s="345">
        <f>Données!S132</f>
        <v>1253033.5</v>
      </c>
      <c r="O132" s="345">
        <f>Données!T132</f>
        <v>384137.7</v>
      </c>
      <c r="P132" s="345">
        <f>Données!U132</f>
        <v>216557.8</v>
      </c>
      <c r="Q132" s="318">
        <f>Données!V132</f>
        <v>420840.9</v>
      </c>
      <c r="R132" s="302">
        <f t="shared" si="11"/>
        <v>1053116.77</v>
      </c>
      <c r="S132" s="322">
        <f t="shared" si="12"/>
        <v>-1972760.3657711421</v>
      </c>
      <c r="T132" s="323">
        <f t="shared" si="17"/>
        <v>-919643.59577114205</v>
      </c>
    </row>
    <row r="133" spans="1:20" x14ac:dyDescent="0.25">
      <c r="A133" s="148">
        <f>Données!A133</f>
        <v>5628</v>
      </c>
      <c r="B133" s="160" t="str">
        <f>Données!B133</f>
        <v>Chigny</v>
      </c>
      <c r="C133" s="321">
        <f>Données!C133</f>
        <v>420</v>
      </c>
      <c r="D133" s="318">
        <f>RFS!W133</f>
        <v>2130977.5395513424</v>
      </c>
      <c r="E133" s="336"/>
      <c r="F133" s="342">
        <f t="shared" si="9"/>
        <v>5073.756046550815</v>
      </c>
      <c r="G133" s="336">
        <f t="shared" si="13"/>
        <v>1733.3413841279726</v>
      </c>
      <c r="H133" s="343">
        <f t="shared" si="10"/>
        <v>582402.70506699884</v>
      </c>
      <c r="I133" s="313"/>
      <c r="J133" s="344">
        <f t="shared" si="14"/>
        <v>3687.0829392484366</v>
      </c>
      <c r="K133" s="344">
        <f t="shared" si="15"/>
        <v>0</v>
      </c>
      <c r="L133" s="343">
        <f t="shared" si="16"/>
        <v>0</v>
      </c>
      <c r="M133" s="336"/>
      <c r="N133" s="345">
        <f>Données!S133</f>
        <v>82830</v>
      </c>
      <c r="O133" s="345">
        <f>Données!T133</f>
        <v>0</v>
      </c>
      <c r="P133" s="345">
        <f>Données!U133</f>
        <v>145153.35</v>
      </c>
      <c r="Q133" s="318">
        <f>Données!V133</f>
        <v>160.94999999999999</v>
      </c>
      <c r="R133" s="302">
        <f t="shared" si="11"/>
        <v>114039.96</v>
      </c>
      <c r="S133" s="322">
        <f t="shared" si="12"/>
        <v>-84797.805099158708</v>
      </c>
      <c r="T133" s="323">
        <f t="shared" si="17"/>
        <v>29242.154900841299</v>
      </c>
    </row>
    <row r="134" spans="1:20" x14ac:dyDescent="0.25">
      <c r="A134" s="148">
        <f>Données!A134</f>
        <v>5629</v>
      </c>
      <c r="B134" s="160" t="str">
        <f>Données!B134</f>
        <v>Clarmont</v>
      </c>
      <c r="C134" s="321">
        <f>Données!C134</f>
        <v>228</v>
      </c>
      <c r="D134" s="318">
        <f>RFS!W134</f>
        <v>543785.44454374781</v>
      </c>
      <c r="E134" s="336"/>
      <c r="F134" s="342">
        <f t="shared" si="9"/>
        <v>2385.0238795778414</v>
      </c>
      <c r="G134" s="336">
        <f t="shared" si="13"/>
        <v>-955.39078284500101</v>
      </c>
      <c r="H134" s="343">
        <f t="shared" si="10"/>
        <v>-174263.27879092819</v>
      </c>
      <c r="I134" s="313"/>
      <c r="J134" s="344">
        <f t="shared" si="14"/>
        <v>3149.336505853842</v>
      </c>
      <c r="K134" s="344">
        <f t="shared" si="15"/>
        <v>0</v>
      </c>
      <c r="L134" s="343">
        <f t="shared" si="16"/>
        <v>0</v>
      </c>
      <c r="M134" s="336"/>
      <c r="N134" s="345">
        <f>Données!S134</f>
        <v>24640</v>
      </c>
      <c r="O134" s="345">
        <f>Données!T134</f>
        <v>0</v>
      </c>
      <c r="P134" s="345">
        <f>Données!U134</f>
        <v>15709.2</v>
      </c>
      <c r="Q134" s="318">
        <f>Données!V134</f>
        <v>0</v>
      </c>
      <c r="R134" s="302">
        <f t="shared" si="11"/>
        <v>20174.599999999999</v>
      </c>
      <c r="S134" s="322">
        <f t="shared" si="12"/>
        <v>-46033.094196686157</v>
      </c>
      <c r="T134" s="323">
        <f t="shared" si="17"/>
        <v>-25858.494196686159</v>
      </c>
    </row>
    <row r="135" spans="1:20" x14ac:dyDescent="0.25">
      <c r="A135" s="148">
        <f>Données!A135</f>
        <v>5631</v>
      </c>
      <c r="B135" s="160" t="str">
        <f>Données!B135</f>
        <v>Denens</v>
      </c>
      <c r="C135" s="321">
        <f>Données!C135</f>
        <v>742</v>
      </c>
      <c r="D135" s="318">
        <f>RFS!W135</f>
        <v>3145405.0581136304</v>
      </c>
      <c r="E135" s="336"/>
      <c r="F135" s="342">
        <f t="shared" si="9"/>
        <v>4239.0903748162136</v>
      </c>
      <c r="G135" s="336">
        <f t="shared" si="13"/>
        <v>898.67571239337121</v>
      </c>
      <c r="H135" s="343">
        <f t="shared" si="10"/>
        <v>533453.90287670516</v>
      </c>
      <c r="I135" s="313"/>
      <c r="J135" s="344">
        <f t="shared" si="14"/>
        <v>3520.1498049015167</v>
      </c>
      <c r="K135" s="344">
        <f t="shared" si="15"/>
        <v>0</v>
      </c>
      <c r="L135" s="343">
        <f t="shared" si="16"/>
        <v>0</v>
      </c>
      <c r="M135" s="336"/>
      <c r="N135" s="345">
        <f>Données!S135</f>
        <v>70785</v>
      </c>
      <c r="O135" s="345">
        <f>Données!T135</f>
        <v>1518</v>
      </c>
      <c r="P135" s="345">
        <f>Données!U135</f>
        <v>84563.25</v>
      </c>
      <c r="Q135" s="318">
        <f>Données!V135</f>
        <v>2264.9</v>
      </c>
      <c r="R135" s="302">
        <f t="shared" si="11"/>
        <v>79112.595000000001</v>
      </c>
      <c r="S135" s="322">
        <f t="shared" si="12"/>
        <v>-149809.45567518039</v>
      </c>
      <c r="T135" s="323">
        <f t="shared" si="17"/>
        <v>-70696.860675180389</v>
      </c>
    </row>
    <row r="136" spans="1:20" x14ac:dyDescent="0.25">
      <c r="A136" s="148">
        <f>Données!A136</f>
        <v>5632</v>
      </c>
      <c r="B136" s="160" t="str">
        <f>Données!B136</f>
        <v>Denges</v>
      </c>
      <c r="C136" s="321">
        <f>Données!C136</f>
        <v>1837</v>
      </c>
      <c r="D136" s="318">
        <f>RFS!W136</f>
        <v>5673186.4342980804</v>
      </c>
      <c r="E136" s="336"/>
      <c r="F136" s="342">
        <f t="shared" ref="F136:F199" si="18">D136/C136</f>
        <v>3088.2887502983563</v>
      </c>
      <c r="G136" s="336">
        <f t="shared" si="13"/>
        <v>-252.12591212448615</v>
      </c>
      <c r="H136" s="343">
        <f t="shared" ref="H136:H199" si="19">G136*$G$6*C136</f>
        <v>-370524.24045814486</v>
      </c>
      <c r="I136" s="313"/>
      <c r="J136" s="344">
        <f t="shared" si="14"/>
        <v>3289.9894799979452</v>
      </c>
      <c r="K136" s="344">
        <f t="shared" si="15"/>
        <v>0</v>
      </c>
      <c r="L136" s="343">
        <f t="shared" si="16"/>
        <v>0</v>
      </c>
      <c r="M136" s="336"/>
      <c r="N136" s="345">
        <f>Données!S136</f>
        <v>355230.25</v>
      </c>
      <c r="O136" s="345">
        <f>Données!T136</f>
        <v>12398.2</v>
      </c>
      <c r="P136" s="345">
        <f>Données!U136</f>
        <v>276968</v>
      </c>
      <c r="Q136" s="318">
        <f>Données!V136</f>
        <v>113781.05</v>
      </c>
      <c r="R136" s="302">
        <f t="shared" ref="R136:R199" si="20">SUMPRODUCT($N$6:$Q$6,N136:Q136)</f>
        <v>356432.54</v>
      </c>
      <c r="S136" s="322">
        <f t="shared" ref="S136:S199" si="21">-($R$308-$S$6)/$C$308*C136</f>
        <v>-370889.44754084415</v>
      </c>
      <c r="T136" s="323">
        <f t="shared" si="17"/>
        <v>-14456.907540844171</v>
      </c>
    </row>
    <row r="137" spans="1:20" x14ac:dyDescent="0.25">
      <c r="A137" s="148">
        <f>Données!A137</f>
        <v>5633</v>
      </c>
      <c r="B137" s="160" t="str">
        <f>Données!B137</f>
        <v>Echandens</v>
      </c>
      <c r="C137" s="321">
        <f>Données!C137</f>
        <v>3004</v>
      </c>
      <c r="D137" s="318">
        <f>RFS!W137</f>
        <v>10195718.240329573</v>
      </c>
      <c r="E137" s="336"/>
      <c r="F137" s="342">
        <f t="shared" si="18"/>
        <v>3394.0473503094449</v>
      </c>
      <c r="G137" s="336">
        <f t="shared" ref="G137:G200" si="22">F137-$F$308</f>
        <v>53.632687886602525</v>
      </c>
      <c r="H137" s="343">
        <f t="shared" si="19"/>
        <v>128890.0755290832</v>
      </c>
      <c r="I137" s="313"/>
      <c r="J137" s="344">
        <f t="shared" ref="J137:J200" si="23">F137-H137/C137</f>
        <v>3351.1412000001628</v>
      </c>
      <c r="K137" s="344">
        <f t="shared" ref="K137:K200" si="24">IF(J137&lt;$K$6,J137-($K$6),0)</f>
        <v>0</v>
      </c>
      <c r="L137" s="343">
        <f t="shared" ref="L137:L200" si="25">ROUND(K137*C137,0)</f>
        <v>0</v>
      </c>
      <c r="M137" s="336"/>
      <c r="N137" s="345">
        <f>Données!S137</f>
        <v>294657.8</v>
      </c>
      <c r="O137" s="345">
        <f>Données!T137</f>
        <v>574735.30000000005</v>
      </c>
      <c r="P137" s="345">
        <f>Données!U137</f>
        <v>349375.65</v>
      </c>
      <c r="Q137" s="318">
        <f>Données!V137</f>
        <v>201321.55</v>
      </c>
      <c r="R137" s="302">
        <f t="shared" si="20"/>
        <v>669780.84</v>
      </c>
      <c r="S137" s="322">
        <f t="shared" si="21"/>
        <v>-606506.20599493512</v>
      </c>
      <c r="T137" s="323">
        <f t="shared" ref="T137:T200" si="26">R137+S137</f>
        <v>63274.634005064843</v>
      </c>
    </row>
    <row r="138" spans="1:20" x14ac:dyDescent="0.25">
      <c r="A138" s="148">
        <f>Données!A138</f>
        <v>5634</v>
      </c>
      <c r="B138" s="160" t="str">
        <f>Données!B138</f>
        <v>Echichens</v>
      </c>
      <c r="C138" s="321">
        <f>Données!C138</f>
        <v>3218</v>
      </c>
      <c r="D138" s="318">
        <f>RFS!W138</f>
        <v>11603750.921996772</v>
      </c>
      <c r="E138" s="336"/>
      <c r="F138" s="342">
        <f t="shared" si="18"/>
        <v>3605.8890372892392</v>
      </c>
      <c r="G138" s="336">
        <f t="shared" si="22"/>
        <v>265.47437486639683</v>
      </c>
      <c r="H138" s="343">
        <f t="shared" si="19"/>
        <v>683437.23065605201</v>
      </c>
      <c r="I138" s="313"/>
      <c r="J138" s="344">
        <f t="shared" si="23"/>
        <v>3393.5095373961217</v>
      </c>
      <c r="K138" s="344">
        <f t="shared" si="24"/>
        <v>0</v>
      </c>
      <c r="L138" s="343">
        <f t="shared" si="25"/>
        <v>0</v>
      </c>
      <c r="M138" s="336"/>
      <c r="N138" s="345">
        <f>Données!S138</f>
        <v>269865.2</v>
      </c>
      <c r="O138" s="345">
        <f>Données!T138</f>
        <v>415175.4</v>
      </c>
      <c r="P138" s="345">
        <f>Données!U138</f>
        <v>337994.3</v>
      </c>
      <c r="Q138" s="318">
        <f>Données!V138</f>
        <v>77372.350000000006</v>
      </c>
      <c r="R138" s="302">
        <f t="shared" si="20"/>
        <v>534729.15500000003</v>
      </c>
      <c r="S138" s="322">
        <f t="shared" si="21"/>
        <v>-649712.70668831596</v>
      </c>
      <c r="T138" s="323">
        <f t="shared" si="26"/>
        <v>-114983.55168831593</v>
      </c>
    </row>
    <row r="139" spans="1:20" x14ac:dyDescent="0.25">
      <c r="A139" s="148">
        <f>Données!A139</f>
        <v>5635</v>
      </c>
      <c r="B139" s="160" t="str">
        <f>Données!B139</f>
        <v>Ecublens</v>
      </c>
      <c r="C139" s="321">
        <f>Données!C139</f>
        <v>13391</v>
      </c>
      <c r="D139" s="318">
        <f>RFS!W139</f>
        <v>36371199.557893604</v>
      </c>
      <c r="E139" s="336"/>
      <c r="F139" s="342">
        <f t="shared" si="18"/>
        <v>2716.0928652000302</v>
      </c>
      <c r="G139" s="336">
        <f t="shared" si="22"/>
        <v>-624.32179722281217</v>
      </c>
      <c r="H139" s="343">
        <f t="shared" si="19"/>
        <v>-6688234.549288542</v>
      </c>
      <c r="I139" s="313"/>
      <c r="J139" s="344">
        <f t="shared" si="23"/>
        <v>3215.5503029782799</v>
      </c>
      <c r="K139" s="344">
        <f t="shared" si="24"/>
        <v>0</v>
      </c>
      <c r="L139" s="343">
        <f t="shared" si="25"/>
        <v>0</v>
      </c>
      <c r="M139" s="336"/>
      <c r="N139" s="345">
        <f>Données!S139</f>
        <v>1511585.9</v>
      </c>
      <c r="O139" s="345">
        <f>Données!T139</f>
        <v>677637.6</v>
      </c>
      <c r="P139" s="345">
        <f>Données!U139</f>
        <v>1210193.45</v>
      </c>
      <c r="Q139" s="318">
        <f>Données!V139</f>
        <v>2741842.5</v>
      </c>
      <c r="R139" s="302">
        <f t="shared" si="20"/>
        <v>2522261.2250000001</v>
      </c>
      <c r="S139" s="322">
        <f t="shared" si="21"/>
        <v>-2703636.6859115101</v>
      </c>
      <c r="T139" s="323">
        <f t="shared" si="26"/>
        <v>-181375.46091151005</v>
      </c>
    </row>
    <row r="140" spans="1:20" x14ac:dyDescent="0.25">
      <c r="A140" s="148">
        <f>Données!A140</f>
        <v>5636</v>
      </c>
      <c r="B140" s="160" t="str">
        <f>Données!B140</f>
        <v>Etoy</v>
      </c>
      <c r="C140" s="321">
        <f>Données!C140</f>
        <v>2966</v>
      </c>
      <c r="D140" s="318">
        <f>RFS!W140</f>
        <v>14219486.214753503</v>
      </c>
      <c r="E140" s="336"/>
      <c r="F140" s="342">
        <f t="shared" si="18"/>
        <v>4794.1625808339522</v>
      </c>
      <c r="G140" s="336">
        <f t="shared" si="22"/>
        <v>1453.7479184111098</v>
      </c>
      <c r="H140" s="343">
        <f t="shared" si="19"/>
        <v>3449453.0608058814</v>
      </c>
      <c r="I140" s="313"/>
      <c r="J140" s="344">
        <f t="shared" si="23"/>
        <v>3631.1642461050642</v>
      </c>
      <c r="K140" s="344">
        <f t="shared" si="24"/>
        <v>0</v>
      </c>
      <c r="L140" s="343">
        <f t="shared" si="25"/>
        <v>0</v>
      </c>
      <c r="M140" s="336"/>
      <c r="N140" s="345">
        <f>Données!S140</f>
        <v>166563.70000000001</v>
      </c>
      <c r="O140" s="345">
        <f>Données!T140</f>
        <v>-79855.5</v>
      </c>
      <c r="P140" s="345">
        <f>Données!U140</f>
        <v>186813.7</v>
      </c>
      <c r="Q140" s="318">
        <f>Données!V140</f>
        <v>726740.75</v>
      </c>
      <c r="R140" s="302">
        <f t="shared" si="20"/>
        <v>354783.17500000005</v>
      </c>
      <c r="S140" s="322">
        <f t="shared" si="21"/>
        <v>-598834.02362882078</v>
      </c>
      <c r="T140" s="323">
        <f t="shared" si="26"/>
        <v>-244050.84862882074</v>
      </c>
    </row>
    <row r="141" spans="1:20" x14ac:dyDescent="0.25">
      <c r="A141" s="148">
        <f>Données!A141</f>
        <v>5637</v>
      </c>
      <c r="B141" s="160" t="str">
        <f>Données!B141</f>
        <v>Lavigny</v>
      </c>
      <c r="C141" s="321">
        <f>Données!C141</f>
        <v>1100</v>
      </c>
      <c r="D141" s="318">
        <f>RFS!W141</f>
        <v>2549210.3986093062</v>
      </c>
      <c r="E141" s="336"/>
      <c r="F141" s="342">
        <f t="shared" si="18"/>
        <v>2317.4639987357327</v>
      </c>
      <c r="G141" s="336">
        <f t="shared" si="22"/>
        <v>-1022.9506636871097</v>
      </c>
      <c r="H141" s="343">
        <f t="shared" si="19"/>
        <v>-900196.5840446566</v>
      </c>
      <c r="I141" s="313"/>
      <c r="J141" s="344">
        <f t="shared" si="23"/>
        <v>3135.8245296854207</v>
      </c>
      <c r="K141" s="344">
        <f t="shared" si="24"/>
        <v>0</v>
      </c>
      <c r="L141" s="343">
        <f t="shared" si="25"/>
        <v>0</v>
      </c>
      <c r="M141" s="336"/>
      <c r="N141" s="345">
        <f>Données!S141</f>
        <v>40087.25</v>
      </c>
      <c r="O141" s="345">
        <f>Données!T141</f>
        <v>21821.9</v>
      </c>
      <c r="P141" s="345">
        <f>Données!U141</f>
        <v>197524.1</v>
      </c>
      <c r="Q141" s="318">
        <f>Données!V141</f>
        <v>318475.84999999998</v>
      </c>
      <c r="R141" s="302">
        <f t="shared" si="20"/>
        <v>225259.38</v>
      </c>
      <c r="S141" s="322">
        <f t="shared" si="21"/>
        <v>-222089.48954541565</v>
      </c>
      <c r="T141" s="323">
        <f t="shared" si="26"/>
        <v>3169.8904545843543</v>
      </c>
    </row>
    <row r="142" spans="1:20" x14ac:dyDescent="0.25">
      <c r="A142" s="148">
        <f>Données!A142</f>
        <v>5638</v>
      </c>
      <c r="B142" s="160" t="str">
        <f>Données!B142</f>
        <v>Lonay</v>
      </c>
      <c r="C142" s="321">
        <f>Données!C142</f>
        <v>2733</v>
      </c>
      <c r="D142" s="318">
        <f>RFS!W142</f>
        <v>10316832.032217771</v>
      </c>
      <c r="E142" s="336"/>
      <c r="F142" s="342">
        <f t="shared" si="18"/>
        <v>3774.9110985063194</v>
      </c>
      <c r="G142" s="336">
        <f t="shared" si="22"/>
        <v>434.49643608347696</v>
      </c>
      <c r="H142" s="343">
        <f t="shared" si="19"/>
        <v>949983.00785291404</v>
      </c>
      <c r="I142" s="313"/>
      <c r="J142" s="344">
        <f t="shared" si="23"/>
        <v>3427.3139496395379</v>
      </c>
      <c r="K142" s="344">
        <f t="shared" si="24"/>
        <v>0</v>
      </c>
      <c r="L142" s="343">
        <f t="shared" si="25"/>
        <v>0</v>
      </c>
      <c r="M142" s="336"/>
      <c r="N142" s="345">
        <f>Données!S142</f>
        <v>271544.7</v>
      </c>
      <c r="O142" s="345">
        <f>Données!T142</f>
        <v>3205539.9</v>
      </c>
      <c r="P142" s="345">
        <f>Données!U142</f>
        <v>397088.55</v>
      </c>
      <c r="Q142" s="318">
        <f>Données!V142</f>
        <v>336838.5</v>
      </c>
      <c r="R142" s="302">
        <f t="shared" si="20"/>
        <v>2038138.125</v>
      </c>
      <c r="S142" s="322">
        <f t="shared" si="21"/>
        <v>-551791.43175238266</v>
      </c>
      <c r="T142" s="323">
        <f t="shared" si="26"/>
        <v>1486346.6932476172</v>
      </c>
    </row>
    <row r="143" spans="1:20" x14ac:dyDescent="0.25">
      <c r="A143" s="148">
        <f>Données!A143</f>
        <v>5639</v>
      </c>
      <c r="B143" s="160" t="str">
        <f>Données!B143</f>
        <v>Lully</v>
      </c>
      <c r="C143" s="321">
        <f>Données!C143</f>
        <v>838</v>
      </c>
      <c r="D143" s="318">
        <f>RFS!W143</f>
        <v>3744782.285648731</v>
      </c>
      <c r="E143" s="336"/>
      <c r="F143" s="342">
        <f t="shared" si="18"/>
        <v>4468.7139446882229</v>
      </c>
      <c r="G143" s="336">
        <f t="shared" si="22"/>
        <v>1128.2992822653805</v>
      </c>
      <c r="H143" s="343">
        <f t="shared" si="19"/>
        <v>756411.83883071109</v>
      </c>
      <c r="I143" s="313"/>
      <c r="J143" s="344">
        <f t="shared" si="23"/>
        <v>3566.0745188759183</v>
      </c>
      <c r="K143" s="344">
        <f t="shared" si="24"/>
        <v>0</v>
      </c>
      <c r="L143" s="343">
        <f t="shared" si="25"/>
        <v>0</v>
      </c>
      <c r="M143" s="336"/>
      <c r="N143" s="345">
        <f>Données!S143</f>
        <v>106368.35</v>
      </c>
      <c r="O143" s="345">
        <f>Données!T143</f>
        <v>130260.8</v>
      </c>
      <c r="P143" s="345">
        <f>Données!U143</f>
        <v>284490.15000000002</v>
      </c>
      <c r="Q143" s="318">
        <f>Données!V143</f>
        <v>28955.75</v>
      </c>
      <c r="R143" s="302">
        <f t="shared" si="20"/>
        <v>269246.375</v>
      </c>
      <c r="S143" s="322">
        <f t="shared" si="21"/>
        <v>-169191.81112641667</v>
      </c>
      <c r="T143" s="323">
        <f t="shared" si="26"/>
        <v>100054.56387358333</v>
      </c>
    </row>
    <row r="144" spans="1:20" x14ac:dyDescent="0.25">
      <c r="A144" s="148">
        <f>Données!A144</f>
        <v>5640</v>
      </c>
      <c r="B144" s="160" t="str">
        <f>Données!B144</f>
        <v>Lussy-sur-Morges</v>
      </c>
      <c r="C144" s="321">
        <f>Données!C144</f>
        <v>719</v>
      </c>
      <c r="D144" s="318">
        <f>RFS!W144</f>
        <v>4247241.0094954195</v>
      </c>
      <c r="E144" s="336"/>
      <c r="F144" s="342">
        <f t="shared" si="18"/>
        <v>5907.1502218295127</v>
      </c>
      <c r="G144" s="336">
        <f t="shared" si="22"/>
        <v>2566.7355594066703</v>
      </c>
      <c r="H144" s="343">
        <f t="shared" si="19"/>
        <v>1476386.2937707168</v>
      </c>
      <c r="I144" s="313"/>
      <c r="J144" s="344">
        <f t="shared" si="23"/>
        <v>3853.7617743041765</v>
      </c>
      <c r="K144" s="344">
        <f t="shared" si="24"/>
        <v>0</v>
      </c>
      <c r="L144" s="343">
        <f t="shared" si="25"/>
        <v>0</v>
      </c>
      <c r="M144" s="336"/>
      <c r="N144" s="345">
        <f>Données!S144</f>
        <v>54256.95</v>
      </c>
      <c r="O144" s="345">
        <f>Données!T144</f>
        <v>12558.5</v>
      </c>
      <c r="P144" s="345">
        <f>Données!U144</f>
        <v>93210.75</v>
      </c>
      <c r="Q144" s="318">
        <f>Données!V144</f>
        <v>29199.95</v>
      </c>
      <c r="R144" s="302">
        <f t="shared" si="20"/>
        <v>88773.085000000006</v>
      </c>
      <c r="S144" s="322">
        <f t="shared" si="21"/>
        <v>-145165.76634832169</v>
      </c>
      <c r="T144" s="323">
        <f t="shared" si="26"/>
        <v>-56392.681348321683</v>
      </c>
    </row>
    <row r="145" spans="1:20" x14ac:dyDescent="0.25">
      <c r="A145" s="148">
        <f>Données!A145</f>
        <v>5642</v>
      </c>
      <c r="B145" s="160" t="str">
        <f>Données!B145</f>
        <v>Morges</v>
      </c>
      <c r="C145" s="321">
        <f>Données!C145</f>
        <v>17715</v>
      </c>
      <c r="D145" s="318">
        <f>RFS!W145</f>
        <v>71636550.480226249</v>
      </c>
      <c r="E145" s="336"/>
      <c r="F145" s="342">
        <f t="shared" si="18"/>
        <v>4043.8357595385974</v>
      </c>
      <c r="G145" s="336">
        <f t="shared" si="22"/>
        <v>703.42109711575495</v>
      </c>
      <c r="H145" s="343">
        <f t="shared" si="19"/>
        <v>9968883.7883244809</v>
      </c>
      <c r="I145" s="313"/>
      <c r="J145" s="344">
        <f t="shared" si="23"/>
        <v>3481.0988818459932</v>
      </c>
      <c r="K145" s="344">
        <f t="shared" si="24"/>
        <v>0</v>
      </c>
      <c r="L145" s="343">
        <f t="shared" si="25"/>
        <v>0</v>
      </c>
      <c r="M145" s="336"/>
      <c r="N145" s="345">
        <f>Données!S145</f>
        <v>2265533.2999999998</v>
      </c>
      <c r="O145" s="345">
        <f>Données!T145</f>
        <v>3514804.3</v>
      </c>
      <c r="P145" s="345">
        <f>Données!U145</f>
        <v>2579786.65</v>
      </c>
      <c r="Q145" s="318">
        <f>Données!V145</f>
        <v>1929869.5</v>
      </c>
      <c r="R145" s="302">
        <f t="shared" si="20"/>
        <v>4759022.9749999996</v>
      </c>
      <c r="S145" s="322">
        <f t="shared" si="21"/>
        <v>-3576650.2793609439</v>
      </c>
      <c r="T145" s="323">
        <f t="shared" si="26"/>
        <v>1182372.6956390557</v>
      </c>
    </row>
    <row r="146" spans="1:20" x14ac:dyDescent="0.25">
      <c r="A146" s="148">
        <f>Données!A146</f>
        <v>5643</v>
      </c>
      <c r="B146" s="160" t="str">
        <f>Données!B146</f>
        <v>Préverenges</v>
      </c>
      <c r="C146" s="321">
        <f>Données!C146</f>
        <v>5273</v>
      </c>
      <c r="D146" s="318">
        <f>RFS!W146</f>
        <v>17121348.906192958</v>
      </c>
      <c r="E146" s="336"/>
      <c r="F146" s="342">
        <f t="shared" si="18"/>
        <v>3246.9844312901496</v>
      </c>
      <c r="G146" s="336">
        <f t="shared" si="22"/>
        <v>-93.430231132692825</v>
      </c>
      <c r="H146" s="343">
        <f t="shared" si="19"/>
        <v>-394126.08701015142</v>
      </c>
      <c r="I146" s="313"/>
      <c r="J146" s="344">
        <f t="shared" si="23"/>
        <v>3321.7286161963038</v>
      </c>
      <c r="K146" s="344">
        <f t="shared" si="24"/>
        <v>0</v>
      </c>
      <c r="L146" s="343">
        <f t="shared" si="25"/>
        <v>0</v>
      </c>
      <c r="M146" s="336"/>
      <c r="N146" s="345">
        <f>Données!S146</f>
        <v>458879.7</v>
      </c>
      <c r="O146" s="345">
        <f>Données!T146</f>
        <v>1606263.6</v>
      </c>
      <c r="P146" s="345">
        <f>Données!U146</f>
        <v>555506.6</v>
      </c>
      <c r="Q146" s="318">
        <f>Données!V146</f>
        <v>238052.1</v>
      </c>
      <c r="R146" s="302">
        <f t="shared" si="20"/>
        <v>1381740.58</v>
      </c>
      <c r="S146" s="322">
        <f t="shared" si="21"/>
        <v>-1064616.2530663426</v>
      </c>
      <c r="T146" s="323">
        <f t="shared" si="26"/>
        <v>317124.32693365752</v>
      </c>
    </row>
    <row r="147" spans="1:20" x14ac:dyDescent="0.25">
      <c r="A147" s="148">
        <f>Données!A147</f>
        <v>5645</v>
      </c>
      <c r="B147" s="160" t="str">
        <f>Données!B147</f>
        <v>Romanel-sur-Morges</v>
      </c>
      <c r="C147" s="321">
        <f>Données!C147</f>
        <v>454</v>
      </c>
      <c r="D147" s="318">
        <f>RFS!W147</f>
        <v>1866601.8261674671</v>
      </c>
      <c r="E147" s="336"/>
      <c r="F147" s="342">
        <f t="shared" si="18"/>
        <v>4111.4577668886941</v>
      </c>
      <c r="G147" s="336">
        <f t="shared" si="22"/>
        <v>771.04310446585168</v>
      </c>
      <c r="H147" s="343">
        <f t="shared" si="19"/>
        <v>280042.85554199736</v>
      </c>
      <c r="I147" s="313"/>
      <c r="J147" s="344">
        <f t="shared" si="23"/>
        <v>3494.6232833160129</v>
      </c>
      <c r="K147" s="344">
        <f t="shared" si="24"/>
        <v>0</v>
      </c>
      <c r="L147" s="343">
        <f t="shared" si="25"/>
        <v>0</v>
      </c>
      <c r="M147" s="336"/>
      <c r="N147" s="345">
        <f>Données!S147</f>
        <v>65907.75</v>
      </c>
      <c r="O147" s="345">
        <f>Données!T147</f>
        <v>24272.5</v>
      </c>
      <c r="P147" s="345">
        <f>Données!U147</f>
        <v>17589</v>
      </c>
      <c r="Q147" s="318">
        <f>Données!V147</f>
        <v>85593.2</v>
      </c>
      <c r="R147" s="302">
        <f t="shared" si="20"/>
        <v>79562.584999999992</v>
      </c>
      <c r="S147" s="322">
        <f t="shared" si="21"/>
        <v>-91662.38932147155</v>
      </c>
      <c r="T147" s="323">
        <f t="shared" si="26"/>
        <v>-12099.804321471558</v>
      </c>
    </row>
    <row r="148" spans="1:20" x14ac:dyDescent="0.25">
      <c r="A148" s="148">
        <f>Données!A148</f>
        <v>5646</v>
      </c>
      <c r="B148" s="160" t="str">
        <f>Données!B148</f>
        <v>Saint-Prex</v>
      </c>
      <c r="C148" s="321">
        <f>Données!C148</f>
        <v>5868</v>
      </c>
      <c r="D148" s="318">
        <f>RFS!W148</f>
        <v>31094294.032215964</v>
      </c>
      <c r="E148" s="336"/>
      <c r="F148" s="342">
        <f t="shared" si="18"/>
        <v>5298.959446526238</v>
      </c>
      <c r="G148" s="336">
        <f t="shared" si="22"/>
        <v>1958.5447841033956</v>
      </c>
      <c r="H148" s="343">
        <f t="shared" si="19"/>
        <v>9194192.6344949808</v>
      </c>
      <c r="I148" s="313"/>
      <c r="J148" s="344">
        <f t="shared" si="23"/>
        <v>3732.1236192435217</v>
      </c>
      <c r="K148" s="344">
        <f t="shared" si="24"/>
        <v>0</v>
      </c>
      <c r="L148" s="343">
        <f t="shared" si="25"/>
        <v>0</v>
      </c>
      <c r="M148" s="336"/>
      <c r="N148" s="345">
        <f>Données!S148</f>
        <v>741233.6</v>
      </c>
      <c r="O148" s="345">
        <f>Données!T148</f>
        <v>408666.5</v>
      </c>
      <c r="P148" s="345">
        <f>Données!U148</f>
        <v>511886</v>
      </c>
      <c r="Q148" s="318">
        <f>Données!V148</f>
        <v>649084.35</v>
      </c>
      <c r="R148" s="302">
        <f t="shared" si="20"/>
        <v>1025618.355</v>
      </c>
      <c r="S148" s="322">
        <f t="shared" si="21"/>
        <v>-1184746.4769568173</v>
      </c>
      <c r="T148" s="323">
        <f t="shared" si="26"/>
        <v>-159128.12195681734</v>
      </c>
    </row>
    <row r="149" spans="1:20" x14ac:dyDescent="0.25">
      <c r="A149" s="148">
        <f>Données!A149</f>
        <v>5648</v>
      </c>
      <c r="B149" s="160" t="str">
        <f>Données!B149</f>
        <v>Saint-Sulpice</v>
      </c>
      <c r="C149" s="321">
        <f>Données!C149</f>
        <v>5157</v>
      </c>
      <c r="D149" s="318">
        <f>RFS!W149</f>
        <v>28110384.429653812</v>
      </c>
      <c r="E149" s="336"/>
      <c r="F149" s="342">
        <f t="shared" si="18"/>
        <v>5450.9180588818717</v>
      </c>
      <c r="G149" s="336">
        <f t="shared" si="22"/>
        <v>2110.5033964590293</v>
      </c>
      <c r="H149" s="343">
        <f t="shared" si="19"/>
        <v>8707092.8124313708</v>
      </c>
      <c r="I149" s="313"/>
      <c r="J149" s="344">
        <f t="shared" si="23"/>
        <v>3762.5153417146485</v>
      </c>
      <c r="K149" s="344">
        <f t="shared" si="24"/>
        <v>0</v>
      </c>
      <c r="L149" s="343">
        <f t="shared" si="25"/>
        <v>0</v>
      </c>
      <c r="M149" s="336"/>
      <c r="N149" s="345">
        <f>Données!S149</f>
        <v>676617.7</v>
      </c>
      <c r="O149" s="345">
        <f>Données!T149</f>
        <v>249387.3</v>
      </c>
      <c r="P149" s="345">
        <f>Données!U149</f>
        <v>1131563</v>
      </c>
      <c r="Q149" s="318">
        <f>Données!V149</f>
        <v>97070.399999999994</v>
      </c>
      <c r="R149" s="302">
        <f t="shared" si="20"/>
        <v>1057905.1200000001</v>
      </c>
      <c r="S149" s="322">
        <f t="shared" si="21"/>
        <v>-1041195.9068960986</v>
      </c>
      <c r="T149" s="323">
        <f t="shared" si="26"/>
        <v>16709.213103901478</v>
      </c>
    </row>
    <row r="150" spans="1:20" x14ac:dyDescent="0.25">
      <c r="A150" s="148">
        <f>Données!A150</f>
        <v>5649</v>
      </c>
      <c r="B150" s="160" t="str">
        <f>Données!B150</f>
        <v>Tolochenaz</v>
      </c>
      <c r="C150" s="321">
        <f>Données!C150</f>
        <v>1934</v>
      </c>
      <c r="D150" s="318">
        <f>RFS!W150</f>
        <v>27381516.966168344</v>
      </c>
      <c r="E150" s="336"/>
      <c r="F150" s="342">
        <f t="shared" si="18"/>
        <v>14157.971544037406</v>
      </c>
      <c r="G150" s="336">
        <f t="shared" si="22"/>
        <v>10817.556881614564</v>
      </c>
      <c r="H150" s="343">
        <f t="shared" si="19"/>
        <v>16736924.007234054</v>
      </c>
      <c r="I150" s="313"/>
      <c r="J150" s="344">
        <f t="shared" si="23"/>
        <v>5503.9260387457543</v>
      </c>
      <c r="K150" s="344">
        <f t="shared" si="24"/>
        <v>0</v>
      </c>
      <c r="L150" s="343">
        <f t="shared" si="25"/>
        <v>0</v>
      </c>
      <c r="M150" s="336"/>
      <c r="N150" s="345">
        <f>Données!S150</f>
        <v>158494.75</v>
      </c>
      <c r="O150" s="345">
        <f>Données!T150</f>
        <v>89818.7</v>
      </c>
      <c r="P150" s="345">
        <f>Données!U150</f>
        <v>331261.95</v>
      </c>
      <c r="Q150" s="318">
        <f>Données!V150</f>
        <v>276035.34999999998</v>
      </c>
      <c r="R150" s="302">
        <f t="shared" si="20"/>
        <v>372598.30499999999</v>
      </c>
      <c r="S150" s="322">
        <f t="shared" si="21"/>
        <v>-390473.70252803079</v>
      </c>
      <c r="T150" s="323">
        <f t="shared" si="26"/>
        <v>-17875.397528030793</v>
      </c>
    </row>
    <row r="151" spans="1:20" x14ac:dyDescent="0.25">
      <c r="A151" s="148">
        <f>Données!A151</f>
        <v>5650</v>
      </c>
      <c r="B151" s="160" t="str">
        <f>Données!B151</f>
        <v>Vaux-sur-Morges</v>
      </c>
      <c r="C151" s="321">
        <f>Données!C151</f>
        <v>185</v>
      </c>
      <c r="D151" s="318">
        <f>RFS!W151</f>
        <v>7856831.7583442358</v>
      </c>
      <c r="E151" s="336"/>
      <c r="F151" s="342">
        <f t="shared" si="18"/>
        <v>42469.360855914791</v>
      </c>
      <c r="G151" s="336">
        <f t="shared" si="22"/>
        <v>39128.946193491945</v>
      </c>
      <c r="H151" s="343">
        <f t="shared" si="19"/>
        <v>5791084.036636808</v>
      </c>
      <c r="I151" s="313"/>
      <c r="J151" s="344">
        <f t="shared" si="23"/>
        <v>11166.203901121233</v>
      </c>
      <c r="K151" s="344">
        <f t="shared" si="24"/>
        <v>0</v>
      </c>
      <c r="L151" s="343">
        <f t="shared" si="25"/>
        <v>0</v>
      </c>
      <c r="M151" s="336"/>
      <c r="N151" s="345">
        <f>Données!S151</f>
        <v>19112.5</v>
      </c>
      <c r="O151" s="345">
        <f>Données!T151</f>
        <v>0</v>
      </c>
      <c r="P151" s="345">
        <f>Données!U151</f>
        <v>18664.150000000001</v>
      </c>
      <c r="Q151" s="318">
        <f>Données!V151</f>
        <v>230.65</v>
      </c>
      <c r="R151" s="302">
        <f t="shared" si="20"/>
        <v>18957.52</v>
      </c>
      <c r="S151" s="322">
        <f t="shared" si="21"/>
        <v>-37351.414150819903</v>
      </c>
      <c r="T151" s="323">
        <f t="shared" si="26"/>
        <v>-18393.894150819902</v>
      </c>
    </row>
    <row r="152" spans="1:20" x14ac:dyDescent="0.25">
      <c r="A152" s="148">
        <f>Données!A152</f>
        <v>5651</v>
      </c>
      <c r="B152" s="160" t="str">
        <f>Données!B152</f>
        <v>Villars-Sainte-Croix</v>
      </c>
      <c r="C152" s="321">
        <f>Données!C152</f>
        <v>955</v>
      </c>
      <c r="D152" s="318">
        <f>RFS!W152</f>
        <v>4174598.9899888514</v>
      </c>
      <c r="E152" s="336"/>
      <c r="F152" s="342">
        <f t="shared" si="18"/>
        <v>4371.3078429202633</v>
      </c>
      <c r="G152" s="336">
        <f t="shared" si="22"/>
        <v>1030.8931804974209</v>
      </c>
      <c r="H152" s="343">
        <f t="shared" si="19"/>
        <v>787602.38990002952</v>
      </c>
      <c r="I152" s="313"/>
      <c r="J152" s="344">
        <f t="shared" si="23"/>
        <v>3546.5932985223267</v>
      </c>
      <c r="K152" s="344">
        <f t="shared" si="24"/>
        <v>0</v>
      </c>
      <c r="L152" s="343">
        <f t="shared" si="25"/>
        <v>0</v>
      </c>
      <c r="M152" s="336"/>
      <c r="N152" s="345">
        <f>Données!S152</f>
        <v>144240.85</v>
      </c>
      <c r="O152" s="345">
        <f>Données!T152</f>
        <v>11051.2</v>
      </c>
      <c r="P152" s="345">
        <f>Données!U152</f>
        <v>116693.7</v>
      </c>
      <c r="Q152" s="318">
        <f>Données!V152</f>
        <v>287281.55</v>
      </c>
      <c r="R152" s="302">
        <f t="shared" si="20"/>
        <v>222177.34</v>
      </c>
      <c r="S152" s="322">
        <f t="shared" si="21"/>
        <v>-192814.05683261086</v>
      </c>
      <c r="T152" s="323">
        <f t="shared" si="26"/>
        <v>29363.283167389134</v>
      </c>
    </row>
    <row r="153" spans="1:20" x14ac:dyDescent="0.25">
      <c r="A153" s="148">
        <f>Données!A153</f>
        <v>5652</v>
      </c>
      <c r="B153" s="160" t="str">
        <f>Données!B153</f>
        <v>Villars-sous-Yens</v>
      </c>
      <c r="C153" s="321">
        <f>Données!C153</f>
        <v>602</v>
      </c>
      <c r="D153" s="318">
        <f>RFS!W153</f>
        <v>1856240.5367467436</v>
      </c>
      <c r="E153" s="336"/>
      <c r="F153" s="342">
        <f t="shared" si="18"/>
        <v>3083.4560411075477</v>
      </c>
      <c r="G153" s="336">
        <f t="shared" si="22"/>
        <v>-256.95862131529475</v>
      </c>
      <c r="H153" s="343">
        <f t="shared" si="19"/>
        <v>-123751.27202544596</v>
      </c>
      <c r="I153" s="313"/>
      <c r="J153" s="344">
        <f t="shared" si="23"/>
        <v>3289.0229381597833</v>
      </c>
      <c r="K153" s="344">
        <f t="shared" si="24"/>
        <v>0</v>
      </c>
      <c r="L153" s="343">
        <f t="shared" si="25"/>
        <v>0</v>
      </c>
      <c r="M153" s="336"/>
      <c r="N153" s="345">
        <f>Données!S153</f>
        <v>87138.9</v>
      </c>
      <c r="O153" s="345">
        <f>Données!T153</f>
        <v>229759.7</v>
      </c>
      <c r="P153" s="345">
        <f>Données!U153</f>
        <v>24380.85</v>
      </c>
      <c r="Q153" s="318">
        <f>Données!V153</f>
        <v>1364.05</v>
      </c>
      <c r="R153" s="302">
        <f t="shared" si="20"/>
        <v>171048.93999999997</v>
      </c>
      <c r="S153" s="322">
        <f t="shared" si="21"/>
        <v>-121543.52064212748</v>
      </c>
      <c r="T153" s="323">
        <f t="shared" si="26"/>
        <v>49505.419357872495</v>
      </c>
    </row>
    <row r="154" spans="1:20" x14ac:dyDescent="0.25">
      <c r="A154" s="148">
        <f>Données!A154</f>
        <v>5653</v>
      </c>
      <c r="B154" s="160" t="str">
        <f>Données!B154</f>
        <v>Vufflens-le-Château</v>
      </c>
      <c r="C154" s="321">
        <f>Données!C154</f>
        <v>838</v>
      </c>
      <c r="D154" s="318">
        <f>RFS!W154</f>
        <v>5113257.3654544093</v>
      </c>
      <c r="E154" s="336"/>
      <c r="F154" s="342">
        <f t="shared" si="18"/>
        <v>6101.7390995876003</v>
      </c>
      <c r="G154" s="336">
        <f t="shared" si="22"/>
        <v>2761.3244371647579</v>
      </c>
      <c r="H154" s="343">
        <f t="shared" si="19"/>
        <v>1851191.9026752538</v>
      </c>
      <c r="I154" s="313"/>
      <c r="J154" s="344">
        <f t="shared" si="23"/>
        <v>3892.679549855794</v>
      </c>
      <c r="K154" s="344">
        <f t="shared" si="24"/>
        <v>0</v>
      </c>
      <c r="L154" s="343">
        <f t="shared" si="25"/>
        <v>0</v>
      </c>
      <c r="M154" s="336"/>
      <c r="N154" s="345">
        <f>Données!S154</f>
        <v>215656.1</v>
      </c>
      <c r="O154" s="345">
        <f>Données!T154</f>
        <v>1782</v>
      </c>
      <c r="P154" s="345">
        <f>Données!U154</f>
        <v>145267.65</v>
      </c>
      <c r="Q154" s="318">
        <f>Données!V154</f>
        <v>1912.6</v>
      </c>
      <c r="R154" s="302">
        <f t="shared" si="20"/>
        <v>181926.655</v>
      </c>
      <c r="S154" s="322">
        <f t="shared" si="21"/>
        <v>-169191.81112641667</v>
      </c>
      <c r="T154" s="323">
        <f t="shared" si="26"/>
        <v>12734.843873583333</v>
      </c>
    </row>
    <row r="155" spans="1:20" x14ac:dyDescent="0.25">
      <c r="A155" s="148">
        <f>Données!A155</f>
        <v>5654</v>
      </c>
      <c r="B155" s="160" t="str">
        <f>Données!B155</f>
        <v>Vullierens</v>
      </c>
      <c r="C155" s="321">
        <f>Données!C155</f>
        <v>548</v>
      </c>
      <c r="D155" s="318">
        <f>RFS!W155</f>
        <v>1572162.7073487993</v>
      </c>
      <c r="E155" s="336"/>
      <c r="F155" s="342">
        <f t="shared" si="18"/>
        <v>2868.910049906568</v>
      </c>
      <c r="G155" s="336">
        <f t="shared" si="22"/>
        <v>-471.50461251627439</v>
      </c>
      <c r="H155" s="343">
        <f t="shared" si="19"/>
        <v>-206707.6221271347</v>
      </c>
      <c r="I155" s="313"/>
      <c r="J155" s="344">
        <f t="shared" si="23"/>
        <v>3246.1137399195877</v>
      </c>
      <c r="K155" s="344">
        <f t="shared" si="24"/>
        <v>0</v>
      </c>
      <c r="L155" s="343">
        <f t="shared" si="25"/>
        <v>0</v>
      </c>
      <c r="M155" s="336"/>
      <c r="N155" s="345">
        <f>Données!S155</f>
        <v>42575.65</v>
      </c>
      <c r="O155" s="345">
        <f>Données!T155</f>
        <v>0</v>
      </c>
      <c r="P155" s="345">
        <f>Données!U155</f>
        <v>85570.2</v>
      </c>
      <c r="Q155" s="318">
        <f>Données!V155</f>
        <v>6294.85</v>
      </c>
      <c r="R155" s="302">
        <f t="shared" si="20"/>
        <v>65961.38</v>
      </c>
      <c r="S155" s="322">
        <f t="shared" si="21"/>
        <v>-110640.94570080707</v>
      </c>
      <c r="T155" s="323">
        <f t="shared" si="26"/>
        <v>-44679.56570080707</v>
      </c>
    </row>
    <row r="156" spans="1:20" x14ac:dyDescent="0.25">
      <c r="A156" s="148">
        <f>Données!A156</f>
        <v>5655</v>
      </c>
      <c r="B156" s="160" t="str">
        <f>Données!B156</f>
        <v>Yens</v>
      </c>
      <c r="C156" s="321">
        <f>Données!C156</f>
        <v>1502</v>
      </c>
      <c r="D156" s="318">
        <f>RFS!W156</f>
        <v>5794841.4513695603</v>
      </c>
      <c r="E156" s="336"/>
      <c r="F156" s="342">
        <f t="shared" si="18"/>
        <v>3858.0835228825304</v>
      </c>
      <c r="G156" s="336">
        <f t="shared" si="22"/>
        <v>517.66886045968795</v>
      </c>
      <c r="H156" s="343">
        <f t="shared" si="19"/>
        <v>622030.90272836108</v>
      </c>
      <c r="I156" s="313"/>
      <c r="J156" s="344">
        <f t="shared" si="23"/>
        <v>3443.9484345147798</v>
      </c>
      <c r="K156" s="344">
        <f t="shared" si="24"/>
        <v>0</v>
      </c>
      <c r="L156" s="343">
        <f t="shared" si="25"/>
        <v>0</v>
      </c>
      <c r="M156" s="336"/>
      <c r="N156" s="345">
        <f>Données!S156</f>
        <v>249588</v>
      </c>
      <c r="O156" s="345">
        <f>Données!T156</f>
        <v>40834.199999999997</v>
      </c>
      <c r="P156" s="345">
        <f>Données!U156</f>
        <v>363607.9</v>
      </c>
      <c r="Q156" s="318">
        <f>Données!V156</f>
        <v>89065.25</v>
      </c>
      <c r="R156" s="302">
        <f t="shared" si="20"/>
        <v>353734.62500000006</v>
      </c>
      <c r="S156" s="322">
        <f t="shared" si="21"/>
        <v>-303253.10299746756</v>
      </c>
      <c r="T156" s="323">
        <f t="shared" si="26"/>
        <v>50481.522002532496</v>
      </c>
    </row>
    <row r="157" spans="1:20" x14ac:dyDescent="0.25">
      <c r="A157" s="148">
        <f>Données!A157</f>
        <v>5656</v>
      </c>
      <c r="B157" s="160" t="str">
        <f>Données!B157</f>
        <v>Hautemorges</v>
      </c>
      <c r="C157" s="321">
        <f>Données!C157</f>
        <v>4387</v>
      </c>
      <c r="D157" s="318">
        <f>RFS!W157</f>
        <v>11790886.798559301</v>
      </c>
      <c r="E157" s="336"/>
      <c r="F157" s="342">
        <f t="shared" si="18"/>
        <v>2687.6878957281288</v>
      </c>
      <c r="G157" s="336">
        <f t="shared" si="22"/>
        <v>-652.72676669471366</v>
      </c>
      <c r="H157" s="343">
        <f t="shared" si="19"/>
        <v>-2290809.8603917672</v>
      </c>
      <c r="I157" s="313"/>
      <c r="J157" s="344">
        <f t="shared" si="23"/>
        <v>3209.8693090838997</v>
      </c>
      <c r="K157" s="344">
        <f t="shared" si="24"/>
        <v>0</v>
      </c>
      <c r="L157" s="343">
        <f t="shared" si="25"/>
        <v>0</v>
      </c>
      <c r="M157" s="336"/>
      <c r="N157" s="345">
        <f>Données!S157</f>
        <v>298144.55</v>
      </c>
      <c r="O157" s="345">
        <f>Données!T157</f>
        <v>165098.6</v>
      </c>
      <c r="P157" s="345">
        <f>Données!U157</f>
        <v>413861.45</v>
      </c>
      <c r="Q157" s="318">
        <f>Données!V157</f>
        <v>88449.4</v>
      </c>
      <c r="R157" s="302">
        <f t="shared" si="20"/>
        <v>465087.12000000005</v>
      </c>
      <c r="S157" s="322">
        <f t="shared" si="21"/>
        <v>-885733.26421430765</v>
      </c>
      <c r="T157" s="323">
        <f t="shared" si="26"/>
        <v>-420646.1442143076</v>
      </c>
    </row>
    <row r="158" spans="1:20" x14ac:dyDescent="0.25">
      <c r="A158" s="148">
        <f>Données!A158</f>
        <v>5661</v>
      </c>
      <c r="B158" s="160" t="str">
        <f>Données!B158</f>
        <v>Boulens</v>
      </c>
      <c r="C158" s="321">
        <f>Données!C158</f>
        <v>368</v>
      </c>
      <c r="D158" s="318">
        <f>RFS!W158</f>
        <v>683400.20609312505</v>
      </c>
      <c r="E158" s="336"/>
      <c r="F158" s="342">
        <f t="shared" si="18"/>
        <v>1857.0657774269703</v>
      </c>
      <c r="G158" s="336">
        <f t="shared" si="22"/>
        <v>-1483.3488849958721</v>
      </c>
      <c r="H158" s="343">
        <f t="shared" si="19"/>
        <v>-436697.91174278472</v>
      </c>
      <c r="I158" s="313"/>
      <c r="J158" s="344">
        <f t="shared" si="23"/>
        <v>3043.7448854236682</v>
      </c>
      <c r="K158" s="344">
        <f t="shared" si="24"/>
        <v>0</v>
      </c>
      <c r="L158" s="343">
        <f t="shared" si="25"/>
        <v>0</v>
      </c>
      <c r="M158" s="336"/>
      <c r="N158" s="345">
        <f>Données!S158</f>
        <v>44454.400000000001</v>
      </c>
      <c r="O158" s="345">
        <f>Données!T158</f>
        <v>0</v>
      </c>
      <c r="P158" s="345">
        <f>Données!U158</f>
        <v>10967.95</v>
      </c>
      <c r="Q158" s="318">
        <f>Données!V158</f>
        <v>15880.3</v>
      </c>
      <c r="R158" s="302">
        <f t="shared" si="20"/>
        <v>32475.265000000003</v>
      </c>
      <c r="S158" s="322">
        <f t="shared" si="21"/>
        <v>-74299.029229739055</v>
      </c>
      <c r="T158" s="323">
        <f t="shared" si="26"/>
        <v>-41823.764229739056</v>
      </c>
    </row>
    <row r="159" spans="1:20" x14ac:dyDescent="0.25">
      <c r="A159" s="148">
        <f>Données!A159</f>
        <v>5663</v>
      </c>
      <c r="B159" s="160" t="str">
        <f>Données!B159</f>
        <v>Bussy-sur-Moudon</v>
      </c>
      <c r="C159" s="321">
        <f>Données!C159</f>
        <v>262</v>
      </c>
      <c r="D159" s="318">
        <f>RFS!W159</f>
        <v>398603.57227324601</v>
      </c>
      <c r="E159" s="336"/>
      <c r="F159" s="342">
        <f t="shared" si="18"/>
        <v>1521.3876804322367</v>
      </c>
      <c r="G159" s="336">
        <f t="shared" si="22"/>
        <v>-1819.0269819906057</v>
      </c>
      <c r="H159" s="343">
        <f t="shared" si="19"/>
        <v>-381268.055425231</v>
      </c>
      <c r="I159" s="313"/>
      <c r="J159" s="344">
        <f t="shared" si="23"/>
        <v>2976.6092660247214</v>
      </c>
      <c r="K159" s="344">
        <f t="shared" si="24"/>
        <v>-29.763930155835169</v>
      </c>
      <c r="L159" s="343">
        <f t="shared" si="25"/>
        <v>-7798</v>
      </c>
      <c r="M159" s="336"/>
      <c r="N159" s="345">
        <f>Données!S159</f>
        <v>6722.1</v>
      </c>
      <c r="O159" s="345">
        <f>Données!T159</f>
        <v>4.3</v>
      </c>
      <c r="P159" s="345">
        <f>Données!U159</f>
        <v>20111.099999999999</v>
      </c>
      <c r="Q159" s="318">
        <f>Données!V159</f>
        <v>0</v>
      </c>
      <c r="R159" s="302">
        <f t="shared" si="20"/>
        <v>13418.75</v>
      </c>
      <c r="S159" s="322">
        <f t="shared" si="21"/>
        <v>-52897.678418998999</v>
      </c>
      <c r="T159" s="323">
        <f t="shared" si="26"/>
        <v>-39478.928418998999</v>
      </c>
    </row>
    <row r="160" spans="1:20" x14ac:dyDescent="0.25">
      <c r="A160" s="148">
        <f>Données!A160</f>
        <v>5665</v>
      </c>
      <c r="B160" s="160" t="str">
        <f>Données!B160</f>
        <v>Chavannes-sur-Moudon</v>
      </c>
      <c r="C160" s="321">
        <f>Données!C160</f>
        <v>229</v>
      </c>
      <c r="D160" s="318">
        <f>RFS!W160</f>
        <v>443722.85743676283</v>
      </c>
      <c r="E160" s="336"/>
      <c r="F160" s="342">
        <f t="shared" si="18"/>
        <v>1937.6543992871739</v>
      </c>
      <c r="G160" s="336">
        <f t="shared" si="22"/>
        <v>-1402.7602631356685</v>
      </c>
      <c r="H160" s="343">
        <f t="shared" si="19"/>
        <v>-256985.68020645448</v>
      </c>
      <c r="I160" s="313"/>
      <c r="J160" s="344">
        <f t="shared" si="23"/>
        <v>3059.8626097957085</v>
      </c>
      <c r="K160" s="344">
        <f t="shared" si="24"/>
        <v>0</v>
      </c>
      <c r="L160" s="343">
        <f t="shared" si="25"/>
        <v>0</v>
      </c>
      <c r="M160" s="336"/>
      <c r="N160" s="345">
        <f>Données!S160</f>
        <v>4418.7</v>
      </c>
      <c r="O160" s="345">
        <f>Données!T160</f>
        <v>0</v>
      </c>
      <c r="P160" s="345">
        <f>Données!U160</f>
        <v>192.5</v>
      </c>
      <c r="Q160" s="318">
        <f>Données!V160</f>
        <v>0</v>
      </c>
      <c r="R160" s="302">
        <f t="shared" si="20"/>
        <v>2305.6</v>
      </c>
      <c r="S160" s="322">
        <f t="shared" si="21"/>
        <v>-46234.993732636533</v>
      </c>
      <c r="T160" s="323">
        <f t="shared" si="26"/>
        <v>-43929.393732636534</v>
      </c>
    </row>
    <row r="161" spans="1:20" x14ac:dyDescent="0.25">
      <c r="A161" s="148">
        <f>Données!A161</f>
        <v>5669</v>
      </c>
      <c r="B161" s="160" t="str">
        <f>Données!B161</f>
        <v>Curtilles</v>
      </c>
      <c r="C161" s="321">
        <f>Données!C161</f>
        <v>308</v>
      </c>
      <c r="D161" s="318">
        <f>RFS!W161</f>
        <v>650639.08540253877</v>
      </c>
      <c r="E161" s="336"/>
      <c r="F161" s="342">
        <f t="shared" si="18"/>
        <v>2112.4645629952556</v>
      </c>
      <c r="G161" s="336">
        <f t="shared" si="22"/>
        <v>-1227.9500994275868</v>
      </c>
      <c r="H161" s="343">
        <f t="shared" si="19"/>
        <v>-302566.90449895739</v>
      </c>
      <c r="I161" s="313"/>
      <c r="J161" s="344">
        <f t="shared" si="23"/>
        <v>3094.824642537325</v>
      </c>
      <c r="K161" s="344">
        <f t="shared" si="24"/>
        <v>0</v>
      </c>
      <c r="L161" s="343">
        <f t="shared" si="25"/>
        <v>0</v>
      </c>
      <c r="M161" s="336"/>
      <c r="N161" s="345">
        <f>Données!S161</f>
        <v>37945</v>
      </c>
      <c r="O161" s="345">
        <f>Données!T161</f>
        <v>9630</v>
      </c>
      <c r="P161" s="345">
        <f>Données!U161</f>
        <v>13575.75</v>
      </c>
      <c r="Q161" s="318">
        <f>Données!V161</f>
        <v>0</v>
      </c>
      <c r="R161" s="302">
        <f t="shared" si="20"/>
        <v>30575.375</v>
      </c>
      <c r="S161" s="322">
        <f t="shared" si="21"/>
        <v>-62185.057072716387</v>
      </c>
      <c r="T161" s="323">
        <f t="shared" si="26"/>
        <v>-31609.682072716387</v>
      </c>
    </row>
    <row r="162" spans="1:20" x14ac:dyDescent="0.25">
      <c r="A162" s="148">
        <f>Données!A162</f>
        <v>5671</v>
      </c>
      <c r="B162" s="160" t="str">
        <f>Données!B162</f>
        <v>Dompierre</v>
      </c>
      <c r="C162" s="321">
        <f>Données!C162</f>
        <v>240</v>
      </c>
      <c r="D162" s="318">
        <f>RFS!W162</f>
        <v>415736.29314574052</v>
      </c>
      <c r="E162" s="336"/>
      <c r="F162" s="342">
        <f t="shared" si="18"/>
        <v>1732.2345547739189</v>
      </c>
      <c r="G162" s="336">
        <f t="shared" si="22"/>
        <v>-1608.1801076489235</v>
      </c>
      <c r="H162" s="343">
        <f t="shared" si="19"/>
        <v>-308770.58066859335</v>
      </c>
      <c r="I162" s="313"/>
      <c r="J162" s="344">
        <f t="shared" si="23"/>
        <v>3018.7786408930579</v>
      </c>
      <c r="K162" s="344">
        <f t="shared" si="24"/>
        <v>0</v>
      </c>
      <c r="L162" s="343">
        <f t="shared" si="25"/>
        <v>0</v>
      </c>
      <c r="M162" s="336"/>
      <c r="N162" s="345">
        <f>Données!S162</f>
        <v>2311.8000000000002</v>
      </c>
      <c r="O162" s="345">
        <f>Données!T162</f>
        <v>0</v>
      </c>
      <c r="P162" s="345">
        <f>Données!U162</f>
        <v>1747.4</v>
      </c>
      <c r="Q162" s="318">
        <f>Données!V162</f>
        <v>0</v>
      </c>
      <c r="R162" s="302">
        <f t="shared" si="20"/>
        <v>2029.6000000000001</v>
      </c>
      <c r="S162" s="322">
        <f t="shared" si="21"/>
        <v>-48455.888628090688</v>
      </c>
      <c r="T162" s="323">
        <f t="shared" si="26"/>
        <v>-46426.28862809069</v>
      </c>
    </row>
    <row r="163" spans="1:20" x14ac:dyDescent="0.25">
      <c r="A163" s="148">
        <f>Données!A163</f>
        <v>5673</v>
      </c>
      <c r="B163" s="160" t="str">
        <f>Données!B163</f>
        <v>Hermenches</v>
      </c>
      <c r="C163" s="321">
        <f>Données!C163</f>
        <v>373</v>
      </c>
      <c r="D163" s="318">
        <f>RFS!W163</f>
        <v>678844.08328617131</v>
      </c>
      <c r="E163" s="336"/>
      <c r="F163" s="342">
        <f t="shared" si="18"/>
        <v>1819.9573278449634</v>
      </c>
      <c r="G163" s="336">
        <f t="shared" si="22"/>
        <v>-1520.457334577879</v>
      </c>
      <c r="H163" s="343">
        <f t="shared" si="19"/>
        <v>-453704.46863803914</v>
      </c>
      <c r="I163" s="313"/>
      <c r="J163" s="344">
        <f t="shared" si="23"/>
        <v>3036.323195507267</v>
      </c>
      <c r="K163" s="344">
        <f t="shared" si="24"/>
        <v>0</v>
      </c>
      <c r="L163" s="343">
        <f t="shared" si="25"/>
        <v>0</v>
      </c>
      <c r="M163" s="336"/>
      <c r="N163" s="345">
        <f>Données!S163</f>
        <v>16702.05</v>
      </c>
      <c r="O163" s="345">
        <f>Données!T163</f>
        <v>10383.799999999999</v>
      </c>
      <c r="P163" s="345">
        <f>Données!U163</f>
        <v>24389.599999999999</v>
      </c>
      <c r="Q163" s="318">
        <f>Données!V163</f>
        <v>11947.95</v>
      </c>
      <c r="R163" s="302">
        <f t="shared" si="20"/>
        <v>29322.11</v>
      </c>
      <c r="S163" s="322">
        <f t="shared" si="21"/>
        <v>-75308.526909490945</v>
      </c>
      <c r="T163" s="323">
        <f t="shared" si="26"/>
        <v>-45986.416909490945</v>
      </c>
    </row>
    <row r="164" spans="1:20" x14ac:dyDescent="0.25">
      <c r="A164" s="148">
        <f>Données!A164</f>
        <v>5674</v>
      </c>
      <c r="B164" s="160" t="str">
        <f>Données!B164</f>
        <v>Lovatens</v>
      </c>
      <c r="C164" s="321">
        <f>Données!C164</f>
        <v>146</v>
      </c>
      <c r="D164" s="318">
        <f>RFS!W164</f>
        <v>285152.04140749923</v>
      </c>
      <c r="E164" s="336"/>
      <c r="F164" s="342">
        <f t="shared" si="18"/>
        <v>1953.0961740239673</v>
      </c>
      <c r="G164" s="336">
        <f t="shared" si="22"/>
        <v>-1387.3184883988752</v>
      </c>
      <c r="H164" s="343">
        <f t="shared" si="19"/>
        <v>-162038.79944498863</v>
      </c>
      <c r="I164" s="313"/>
      <c r="J164" s="344">
        <f t="shared" si="23"/>
        <v>3062.9509647430677</v>
      </c>
      <c r="K164" s="344">
        <f t="shared" si="24"/>
        <v>0</v>
      </c>
      <c r="L164" s="343">
        <f t="shared" si="25"/>
        <v>0</v>
      </c>
      <c r="M164" s="336"/>
      <c r="N164" s="345">
        <f>Données!S164</f>
        <v>3908.65</v>
      </c>
      <c r="O164" s="345">
        <f>Données!T164</f>
        <v>2084.6999999999998</v>
      </c>
      <c r="P164" s="345">
        <f>Données!U164</f>
        <v>0</v>
      </c>
      <c r="Q164" s="318">
        <f>Données!V164</f>
        <v>0</v>
      </c>
      <c r="R164" s="302">
        <f t="shared" si="20"/>
        <v>2996.6750000000002</v>
      </c>
      <c r="S164" s="322">
        <f t="shared" si="21"/>
        <v>-29477.33224875517</v>
      </c>
      <c r="T164" s="323">
        <f t="shared" si="26"/>
        <v>-26480.657248755171</v>
      </c>
    </row>
    <row r="165" spans="1:20" x14ac:dyDescent="0.25">
      <c r="A165" s="148">
        <f>Données!A165</f>
        <v>5675</v>
      </c>
      <c r="B165" s="160" t="str">
        <f>Données!B165</f>
        <v>Lucens</v>
      </c>
      <c r="C165" s="321">
        <f>Données!C165</f>
        <v>4734</v>
      </c>
      <c r="D165" s="318">
        <f>RFS!W165</f>
        <v>6525810.2248515105</v>
      </c>
      <c r="E165" s="336"/>
      <c r="F165" s="342">
        <f t="shared" si="18"/>
        <v>1378.4981463564661</v>
      </c>
      <c r="G165" s="336">
        <f t="shared" si="22"/>
        <v>-1961.9165160663763</v>
      </c>
      <c r="H165" s="343">
        <f t="shared" si="19"/>
        <v>-7430170.2296465803</v>
      </c>
      <c r="I165" s="313"/>
      <c r="J165" s="344">
        <f t="shared" si="23"/>
        <v>2948.0313592095672</v>
      </c>
      <c r="K165" s="344">
        <f t="shared" si="24"/>
        <v>-58.341836970989334</v>
      </c>
      <c r="L165" s="343">
        <f t="shared" si="25"/>
        <v>-276190</v>
      </c>
      <c r="M165" s="336"/>
      <c r="N165" s="345">
        <f>Données!S165</f>
        <v>721178.85</v>
      </c>
      <c r="O165" s="345">
        <f>Données!T165</f>
        <v>390655.6</v>
      </c>
      <c r="P165" s="345">
        <f>Données!U165</f>
        <v>217618.95</v>
      </c>
      <c r="Q165" s="318">
        <f>Données!V165</f>
        <v>28361.3</v>
      </c>
      <c r="R165" s="302">
        <f t="shared" si="20"/>
        <v>673235.09</v>
      </c>
      <c r="S165" s="322">
        <f t="shared" si="21"/>
        <v>-955792.4031890888</v>
      </c>
      <c r="T165" s="323">
        <f t="shared" si="26"/>
        <v>-282557.31318908883</v>
      </c>
    </row>
    <row r="166" spans="1:20" x14ac:dyDescent="0.25">
      <c r="A166" s="148">
        <f>Données!A166</f>
        <v>5678</v>
      </c>
      <c r="B166" s="160" t="str">
        <f>Données!B166</f>
        <v>Moudon</v>
      </c>
      <c r="C166" s="321">
        <f>Données!C166</f>
        <v>6651</v>
      </c>
      <c r="D166" s="318">
        <f>RFS!W166</f>
        <v>9664582.7468021773</v>
      </c>
      <c r="E166" s="336"/>
      <c r="F166" s="342">
        <f t="shared" si="18"/>
        <v>1453.1022021954859</v>
      </c>
      <c r="G166" s="336">
        <f t="shared" si="22"/>
        <v>-1887.3124602273565</v>
      </c>
      <c r="H166" s="343">
        <f t="shared" si="19"/>
        <v>-10042012.138377719</v>
      </c>
      <c r="I166" s="313"/>
      <c r="J166" s="344">
        <f t="shared" si="23"/>
        <v>2962.9521703773712</v>
      </c>
      <c r="K166" s="344">
        <f t="shared" si="24"/>
        <v>-43.42102580318533</v>
      </c>
      <c r="L166" s="343">
        <f t="shared" si="25"/>
        <v>-288793</v>
      </c>
      <c r="M166" s="336"/>
      <c r="N166" s="345">
        <f>Données!S166</f>
        <v>796538.45</v>
      </c>
      <c r="O166" s="345">
        <f>Données!T166</f>
        <v>256457.3</v>
      </c>
      <c r="P166" s="345">
        <f>Données!U166</f>
        <v>311601.75</v>
      </c>
      <c r="Q166" s="318">
        <f>Données!V166</f>
        <v>234496.25</v>
      </c>
      <c r="R166" s="302">
        <f t="shared" si="20"/>
        <v>752647.625</v>
      </c>
      <c r="S166" s="322">
        <f t="shared" si="21"/>
        <v>-1342833.8136059633</v>
      </c>
      <c r="T166" s="323">
        <f t="shared" si="26"/>
        <v>-590186.18860596325</v>
      </c>
    </row>
    <row r="167" spans="1:20" x14ac:dyDescent="0.25">
      <c r="A167" s="148">
        <f>Données!A167</f>
        <v>5680</v>
      </c>
      <c r="B167" s="160" t="str">
        <f>Données!B167</f>
        <v>Ogens</v>
      </c>
      <c r="C167" s="321">
        <f>Données!C167</f>
        <v>341</v>
      </c>
      <c r="D167" s="318">
        <f>RFS!W167</f>
        <v>622614.26493917219</v>
      </c>
      <c r="E167" s="336"/>
      <c r="F167" s="342">
        <f t="shared" si="18"/>
        <v>1825.8482842790972</v>
      </c>
      <c r="G167" s="336">
        <f t="shared" si="22"/>
        <v>-1514.5663781437452</v>
      </c>
      <c r="H167" s="343">
        <f t="shared" si="19"/>
        <v>-413173.70795761369</v>
      </c>
      <c r="I167" s="313"/>
      <c r="J167" s="344">
        <f t="shared" si="23"/>
        <v>3037.5013867940934</v>
      </c>
      <c r="K167" s="344">
        <f t="shared" si="24"/>
        <v>0</v>
      </c>
      <c r="L167" s="343">
        <f t="shared" si="25"/>
        <v>0</v>
      </c>
      <c r="M167" s="336"/>
      <c r="N167" s="345">
        <f>Données!S167</f>
        <v>138.05000000000001</v>
      </c>
      <c r="O167" s="345">
        <f>Données!T167</f>
        <v>7775.8</v>
      </c>
      <c r="P167" s="345">
        <f>Données!U167</f>
        <v>290.14999999999998</v>
      </c>
      <c r="Q167" s="318">
        <f>Données!V167</f>
        <v>0</v>
      </c>
      <c r="R167" s="302">
        <f t="shared" si="20"/>
        <v>4102</v>
      </c>
      <c r="S167" s="322">
        <f t="shared" si="21"/>
        <v>-68847.741759078854</v>
      </c>
      <c r="T167" s="323">
        <f t="shared" si="26"/>
        <v>-64745.741759078854</v>
      </c>
    </row>
    <row r="168" spans="1:20" x14ac:dyDescent="0.25">
      <c r="A168" s="148">
        <f>Données!A168</f>
        <v>5683</v>
      </c>
      <c r="B168" s="160" t="str">
        <f>Données!B168</f>
        <v>Prévonloup</v>
      </c>
      <c r="C168" s="321">
        <f>Données!C168</f>
        <v>231</v>
      </c>
      <c r="D168" s="318">
        <f>RFS!W168</f>
        <v>229480.4402924914</v>
      </c>
      <c r="E168" s="336"/>
      <c r="F168" s="342">
        <f t="shared" si="18"/>
        <v>993.42181944801473</v>
      </c>
      <c r="G168" s="336">
        <f t="shared" si="22"/>
        <v>-2346.9928429748279</v>
      </c>
      <c r="H168" s="343">
        <f t="shared" si="19"/>
        <v>-433724.27738174819</v>
      </c>
      <c r="I168" s="313"/>
      <c r="J168" s="344">
        <f t="shared" si="23"/>
        <v>2871.0160938278768</v>
      </c>
      <c r="K168" s="344">
        <f t="shared" si="24"/>
        <v>-135.3571023526797</v>
      </c>
      <c r="L168" s="343">
        <f t="shared" si="25"/>
        <v>-31267</v>
      </c>
      <c r="M168" s="336"/>
      <c r="N168" s="345">
        <f>Données!S168</f>
        <v>35586.1</v>
      </c>
      <c r="O168" s="345">
        <f>Données!T168</f>
        <v>41994.5</v>
      </c>
      <c r="P168" s="345">
        <f>Données!U168</f>
        <v>65312.05</v>
      </c>
      <c r="Q168" s="318">
        <f>Données!V168</f>
        <v>627.1</v>
      </c>
      <c r="R168" s="302">
        <f t="shared" si="20"/>
        <v>71634.455000000016</v>
      </c>
      <c r="S168" s="322">
        <f t="shared" si="21"/>
        <v>-46638.79280453729</v>
      </c>
      <c r="T168" s="323">
        <f t="shared" si="26"/>
        <v>24995.662195462726</v>
      </c>
    </row>
    <row r="169" spans="1:20" x14ac:dyDescent="0.25">
      <c r="A169" s="148">
        <f>Données!A169</f>
        <v>5684</v>
      </c>
      <c r="B169" s="160" t="str">
        <f>Données!B169</f>
        <v>Rossenges</v>
      </c>
      <c r="C169" s="321">
        <f>Données!C169</f>
        <v>90</v>
      </c>
      <c r="D169" s="318">
        <f>RFS!W169</f>
        <v>303628.93705914309</v>
      </c>
      <c r="E169" s="336"/>
      <c r="F169" s="342">
        <f t="shared" si="18"/>
        <v>3373.6548562127009</v>
      </c>
      <c r="G169" s="336">
        <f t="shared" si="22"/>
        <v>33.240193789858495</v>
      </c>
      <c r="H169" s="343">
        <f t="shared" si="19"/>
        <v>2393.2939528698116</v>
      </c>
      <c r="I169" s="313"/>
      <c r="J169" s="344">
        <f t="shared" si="23"/>
        <v>3347.0627011808142</v>
      </c>
      <c r="K169" s="344">
        <f t="shared" si="24"/>
        <v>0</v>
      </c>
      <c r="L169" s="343">
        <f t="shared" si="25"/>
        <v>0</v>
      </c>
      <c r="M169" s="336"/>
      <c r="N169" s="345">
        <f>Données!S169</f>
        <v>38.5</v>
      </c>
      <c r="O169" s="345">
        <f>Données!T169</f>
        <v>0</v>
      </c>
      <c r="P169" s="345">
        <f>Données!U169</f>
        <v>0</v>
      </c>
      <c r="Q169" s="318">
        <f>Données!V169</f>
        <v>0</v>
      </c>
      <c r="R169" s="302">
        <f t="shared" si="20"/>
        <v>19.25</v>
      </c>
      <c r="S169" s="322">
        <f t="shared" si="21"/>
        <v>-18170.95823553401</v>
      </c>
      <c r="T169" s="323">
        <f t="shared" si="26"/>
        <v>-18151.70823553401</v>
      </c>
    </row>
    <row r="170" spans="1:20" x14ac:dyDescent="0.25">
      <c r="A170" s="148">
        <f>Données!A170</f>
        <v>5688</v>
      </c>
      <c r="B170" s="160" t="str">
        <f>Données!B170</f>
        <v>Syens</v>
      </c>
      <c r="C170" s="321">
        <f>Données!C170</f>
        <v>151</v>
      </c>
      <c r="D170" s="318">
        <f>RFS!W170</f>
        <v>346913.52299272292</v>
      </c>
      <c r="E170" s="336"/>
      <c r="F170" s="342">
        <f t="shared" si="18"/>
        <v>2297.4405496206814</v>
      </c>
      <c r="G170" s="336">
        <f t="shared" si="22"/>
        <v>-1042.974112802161</v>
      </c>
      <c r="H170" s="343">
        <f t="shared" si="19"/>
        <v>-125991.27282650107</v>
      </c>
      <c r="I170" s="313"/>
      <c r="J170" s="344">
        <f t="shared" si="23"/>
        <v>3131.8198398624104</v>
      </c>
      <c r="K170" s="344">
        <f t="shared" si="24"/>
        <v>0</v>
      </c>
      <c r="L170" s="343">
        <f t="shared" si="25"/>
        <v>0</v>
      </c>
      <c r="M170" s="336"/>
      <c r="N170" s="345">
        <f>Données!S170</f>
        <v>28810.15</v>
      </c>
      <c r="O170" s="345">
        <f>Données!T170</f>
        <v>1634.4</v>
      </c>
      <c r="P170" s="345">
        <f>Données!U170</f>
        <v>0</v>
      </c>
      <c r="Q170" s="318">
        <f>Données!V170</f>
        <v>0</v>
      </c>
      <c r="R170" s="302">
        <f t="shared" si="20"/>
        <v>15222.275000000001</v>
      </c>
      <c r="S170" s="322">
        <f t="shared" si="21"/>
        <v>-30486.829928507057</v>
      </c>
      <c r="T170" s="323">
        <f t="shared" si="26"/>
        <v>-15264.554928507056</v>
      </c>
    </row>
    <row r="171" spans="1:20" x14ac:dyDescent="0.25">
      <c r="A171" s="148">
        <f>Données!A171</f>
        <v>5690</v>
      </c>
      <c r="B171" s="160" t="str">
        <f>Données!B171</f>
        <v>Villars-le-Comte</v>
      </c>
      <c r="C171" s="321">
        <f>Données!C171</f>
        <v>132</v>
      </c>
      <c r="D171" s="318">
        <f>RFS!W171</f>
        <v>285476.7387958644</v>
      </c>
      <c r="E171" s="336"/>
      <c r="F171" s="342">
        <f t="shared" si="18"/>
        <v>2162.7025666353366</v>
      </c>
      <c r="G171" s="336">
        <f t="shared" si="22"/>
        <v>-1177.7120957875059</v>
      </c>
      <c r="H171" s="343">
        <f t="shared" si="19"/>
        <v>-124366.39731516062</v>
      </c>
      <c r="I171" s="313"/>
      <c r="J171" s="344">
        <f t="shared" si="23"/>
        <v>3104.8722432653412</v>
      </c>
      <c r="K171" s="344">
        <f t="shared" si="24"/>
        <v>0</v>
      </c>
      <c r="L171" s="343">
        <f t="shared" si="25"/>
        <v>0</v>
      </c>
      <c r="M171" s="336"/>
      <c r="N171" s="345">
        <f>Données!S171</f>
        <v>16256.8</v>
      </c>
      <c r="O171" s="345">
        <f>Données!T171</f>
        <v>63.5</v>
      </c>
      <c r="P171" s="345">
        <f>Données!U171</f>
        <v>21448.799999999999</v>
      </c>
      <c r="Q171" s="318">
        <f>Données!V171</f>
        <v>0</v>
      </c>
      <c r="R171" s="302">
        <f t="shared" si="20"/>
        <v>18884.55</v>
      </c>
      <c r="S171" s="322">
        <f t="shared" si="21"/>
        <v>-26650.738745449878</v>
      </c>
      <c r="T171" s="323">
        <f t="shared" si="26"/>
        <v>-7766.1887454498792</v>
      </c>
    </row>
    <row r="172" spans="1:20" x14ac:dyDescent="0.25">
      <c r="A172" s="148">
        <f>Données!A172</f>
        <v>5692</v>
      </c>
      <c r="B172" s="160" t="str">
        <f>Données!B172</f>
        <v>Vucherens</v>
      </c>
      <c r="C172" s="321">
        <f>Données!C172</f>
        <v>622</v>
      </c>
      <c r="D172" s="318">
        <f>RFS!W172</f>
        <v>1329376.5611505911</v>
      </c>
      <c r="E172" s="336"/>
      <c r="F172" s="342">
        <f t="shared" si="18"/>
        <v>2137.2613523321402</v>
      </c>
      <c r="G172" s="336">
        <f t="shared" si="22"/>
        <v>-1203.1533100907022</v>
      </c>
      <c r="H172" s="343">
        <f t="shared" si="19"/>
        <v>-598689.08710113354</v>
      </c>
      <c r="I172" s="313"/>
      <c r="J172" s="344">
        <f t="shared" si="23"/>
        <v>3099.7840004047021</v>
      </c>
      <c r="K172" s="344">
        <f t="shared" si="24"/>
        <v>0</v>
      </c>
      <c r="L172" s="343">
        <f t="shared" si="25"/>
        <v>0</v>
      </c>
      <c r="M172" s="336"/>
      <c r="N172" s="345">
        <f>Données!S172</f>
        <v>64150.6</v>
      </c>
      <c r="O172" s="345">
        <f>Données!T172</f>
        <v>0</v>
      </c>
      <c r="P172" s="345">
        <f>Données!U172</f>
        <v>64147.65</v>
      </c>
      <c r="Q172" s="318">
        <f>Données!V172</f>
        <v>32816.6</v>
      </c>
      <c r="R172" s="302">
        <f t="shared" si="20"/>
        <v>73994.104999999996</v>
      </c>
      <c r="S172" s="322">
        <f t="shared" si="21"/>
        <v>-125581.51136113504</v>
      </c>
      <c r="T172" s="323">
        <f t="shared" si="26"/>
        <v>-51587.406361135043</v>
      </c>
    </row>
    <row r="173" spans="1:20" x14ac:dyDescent="0.25">
      <c r="A173" s="148">
        <f>Données!A173</f>
        <v>5693</v>
      </c>
      <c r="B173" s="160" t="str">
        <f>Données!B173</f>
        <v>Montanaire</v>
      </c>
      <c r="C173" s="321">
        <f>Données!C173</f>
        <v>2861</v>
      </c>
      <c r="D173" s="318">
        <f>RFS!W173</f>
        <v>5230567.3029122017</v>
      </c>
      <c r="E173" s="336"/>
      <c r="F173" s="342">
        <f t="shared" si="18"/>
        <v>1828.2304449186304</v>
      </c>
      <c r="G173" s="336">
        <f t="shared" si="22"/>
        <v>-1512.184217504212</v>
      </c>
      <c r="H173" s="343">
        <f t="shared" si="19"/>
        <v>-3461087.2370236409</v>
      </c>
      <c r="I173" s="313"/>
      <c r="J173" s="344">
        <f t="shared" si="23"/>
        <v>3037.9778189220001</v>
      </c>
      <c r="K173" s="344">
        <f t="shared" si="24"/>
        <v>0</v>
      </c>
      <c r="L173" s="343">
        <f t="shared" si="25"/>
        <v>0</v>
      </c>
      <c r="M173" s="336"/>
      <c r="N173" s="345">
        <f>Données!S173</f>
        <v>172387.9</v>
      </c>
      <c r="O173" s="345">
        <f>Données!T173</f>
        <v>8819.7000000000007</v>
      </c>
      <c r="P173" s="345">
        <f>Données!U173</f>
        <v>240871.05</v>
      </c>
      <c r="Q173" s="318">
        <f>Données!V173</f>
        <v>98479.6</v>
      </c>
      <c r="R173" s="302">
        <f t="shared" si="20"/>
        <v>240583.20500000002</v>
      </c>
      <c r="S173" s="322">
        <f t="shared" si="21"/>
        <v>-577634.57235403103</v>
      </c>
      <c r="T173" s="323">
        <f t="shared" si="26"/>
        <v>-337051.36735403101</v>
      </c>
    </row>
    <row r="174" spans="1:20" x14ac:dyDescent="0.25">
      <c r="A174" s="148">
        <f>Données!A174</f>
        <v>5701</v>
      </c>
      <c r="B174" s="160" t="str">
        <f>Données!B174</f>
        <v>Arnex-sur-Nyon</v>
      </c>
      <c r="C174" s="321">
        <f>Données!C174</f>
        <v>267</v>
      </c>
      <c r="D174" s="318">
        <f>RFS!W174</f>
        <v>1094392.4918622079</v>
      </c>
      <c r="E174" s="336"/>
      <c r="F174" s="342">
        <f t="shared" si="18"/>
        <v>4098.8482841281193</v>
      </c>
      <c r="G174" s="336">
        <f t="shared" si="22"/>
        <v>758.43362170527689</v>
      </c>
      <c r="H174" s="343">
        <f t="shared" si="19"/>
        <v>162001.42159624715</v>
      </c>
      <c r="I174" s="313"/>
      <c r="J174" s="344">
        <f t="shared" si="23"/>
        <v>3492.1013867638976</v>
      </c>
      <c r="K174" s="344">
        <f t="shared" si="24"/>
        <v>0</v>
      </c>
      <c r="L174" s="343">
        <f t="shared" si="25"/>
        <v>0</v>
      </c>
      <c r="M174" s="336"/>
      <c r="N174" s="345">
        <f>Données!S174</f>
        <v>105767.45</v>
      </c>
      <c r="O174" s="345">
        <f>Données!T174</f>
        <v>0</v>
      </c>
      <c r="P174" s="345">
        <f>Données!U174</f>
        <v>61338.45</v>
      </c>
      <c r="Q174" s="318">
        <f>Données!V174</f>
        <v>1738.6</v>
      </c>
      <c r="R174" s="302">
        <f t="shared" si="20"/>
        <v>84074.53</v>
      </c>
      <c r="S174" s="322">
        <f t="shared" si="21"/>
        <v>-53907.17609875089</v>
      </c>
      <c r="T174" s="323">
        <f t="shared" si="26"/>
        <v>30167.353901249109</v>
      </c>
    </row>
    <row r="175" spans="1:20" x14ac:dyDescent="0.25">
      <c r="A175" s="148">
        <f>Données!A175</f>
        <v>5702</v>
      </c>
      <c r="B175" s="160" t="str">
        <f>Données!B175</f>
        <v>Arzier-Le Muids</v>
      </c>
      <c r="C175" s="321">
        <f>Données!C175</f>
        <v>2968</v>
      </c>
      <c r="D175" s="318">
        <f>RFS!W175</f>
        <v>12714347.539952293</v>
      </c>
      <c r="E175" s="336"/>
      <c r="F175" s="342">
        <f t="shared" si="18"/>
        <v>4283.8098180432253</v>
      </c>
      <c r="G175" s="336">
        <f t="shared" si="22"/>
        <v>943.39515562038287</v>
      </c>
      <c r="H175" s="343">
        <f t="shared" si="19"/>
        <v>2239997.4575050371</v>
      </c>
      <c r="I175" s="313"/>
      <c r="J175" s="344">
        <f t="shared" si="23"/>
        <v>3529.093693546919</v>
      </c>
      <c r="K175" s="344">
        <f t="shared" si="24"/>
        <v>0</v>
      </c>
      <c r="L175" s="343">
        <f t="shared" si="25"/>
        <v>0</v>
      </c>
      <c r="M175" s="336"/>
      <c r="N175" s="345">
        <f>Données!S175</f>
        <v>389048.45</v>
      </c>
      <c r="O175" s="345">
        <f>Données!T175</f>
        <v>44395.1</v>
      </c>
      <c r="P175" s="345">
        <f>Données!U175</f>
        <v>601818.5</v>
      </c>
      <c r="Q175" s="318">
        <f>Données!V175</f>
        <v>92530.6</v>
      </c>
      <c r="R175" s="302">
        <f t="shared" si="20"/>
        <v>545390.20500000007</v>
      </c>
      <c r="S175" s="322">
        <f t="shared" si="21"/>
        <v>-599237.82270072156</v>
      </c>
      <c r="T175" s="323">
        <f t="shared" si="26"/>
        <v>-53847.617700721486</v>
      </c>
    </row>
    <row r="176" spans="1:20" x14ac:dyDescent="0.25">
      <c r="A176" s="148">
        <f>Données!A176</f>
        <v>5703</v>
      </c>
      <c r="B176" s="160" t="str">
        <f>Données!B176</f>
        <v>Bassins</v>
      </c>
      <c r="C176" s="321">
        <f>Données!C176</f>
        <v>1484</v>
      </c>
      <c r="D176" s="318">
        <f>RFS!W176</f>
        <v>4734945.4245136268</v>
      </c>
      <c r="E176" s="336"/>
      <c r="F176" s="342">
        <f t="shared" si="18"/>
        <v>3190.6640326911233</v>
      </c>
      <c r="G176" s="336">
        <f t="shared" si="22"/>
        <v>-149.75062973171907</v>
      </c>
      <c r="H176" s="343">
        <f t="shared" si="19"/>
        <v>-177783.94761749689</v>
      </c>
      <c r="I176" s="313"/>
      <c r="J176" s="344">
        <f t="shared" si="23"/>
        <v>3310.4645364764988</v>
      </c>
      <c r="K176" s="344">
        <f t="shared" si="24"/>
        <v>0</v>
      </c>
      <c r="L176" s="343">
        <f t="shared" si="25"/>
        <v>0</v>
      </c>
      <c r="M176" s="336"/>
      <c r="N176" s="345">
        <f>Données!S176</f>
        <v>142664.5</v>
      </c>
      <c r="O176" s="345">
        <f>Données!T176</f>
        <v>0</v>
      </c>
      <c r="P176" s="345">
        <f>Données!U176</f>
        <v>141489.95000000001</v>
      </c>
      <c r="Q176" s="318">
        <f>Données!V176</f>
        <v>24696.400000000001</v>
      </c>
      <c r="R176" s="302">
        <f t="shared" si="20"/>
        <v>149486.14500000002</v>
      </c>
      <c r="S176" s="322">
        <f t="shared" si="21"/>
        <v>-299618.91135036078</v>
      </c>
      <c r="T176" s="323">
        <f t="shared" si="26"/>
        <v>-150132.76635036076</v>
      </c>
    </row>
    <row r="177" spans="1:20" x14ac:dyDescent="0.25">
      <c r="A177" s="148">
        <f>Données!A177</f>
        <v>5704</v>
      </c>
      <c r="B177" s="160" t="str">
        <f>Données!B177</f>
        <v>Begnins</v>
      </c>
      <c r="C177" s="321">
        <f>Données!C177</f>
        <v>2041</v>
      </c>
      <c r="D177" s="318">
        <f>RFS!W177</f>
        <v>10189309.770799169</v>
      </c>
      <c r="E177" s="336"/>
      <c r="F177" s="342">
        <f t="shared" si="18"/>
        <v>4992.3124795684316</v>
      </c>
      <c r="G177" s="336">
        <f t="shared" si="22"/>
        <v>1651.8978171455892</v>
      </c>
      <c r="H177" s="343">
        <f t="shared" si="19"/>
        <v>2697218.7558353185</v>
      </c>
      <c r="I177" s="313"/>
      <c r="J177" s="344">
        <f t="shared" si="23"/>
        <v>3670.7942258519602</v>
      </c>
      <c r="K177" s="344">
        <f t="shared" si="24"/>
        <v>0</v>
      </c>
      <c r="L177" s="343">
        <f t="shared" si="25"/>
        <v>0</v>
      </c>
      <c r="M177" s="336"/>
      <c r="N177" s="345">
        <f>Données!S177</f>
        <v>257227.9</v>
      </c>
      <c r="O177" s="345">
        <f>Données!T177</f>
        <v>27006.799999999999</v>
      </c>
      <c r="P177" s="345">
        <f>Données!U177</f>
        <v>167298.54999999999</v>
      </c>
      <c r="Q177" s="318">
        <f>Données!V177</f>
        <v>43903.1</v>
      </c>
      <c r="R177" s="302">
        <f t="shared" si="20"/>
        <v>238937.55499999999</v>
      </c>
      <c r="S177" s="322">
        <f t="shared" si="21"/>
        <v>-412076.9528747212</v>
      </c>
      <c r="T177" s="323">
        <f t="shared" si="26"/>
        <v>-173139.39787472121</v>
      </c>
    </row>
    <row r="178" spans="1:20" x14ac:dyDescent="0.25">
      <c r="A178" s="148">
        <f>Données!A178</f>
        <v>5705</v>
      </c>
      <c r="B178" s="160" t="str">
        <f>Données!B178</f>
        <v>Bogis-Bossey</v>
      </c>
      <c r="C178" s="321">
        <f>Données!C178</f>
        <v>990</v>
      </c>
      <c r="D178" s="318">
        <f>RFS!W178</f>
        <v>4061462.7017303915</v>
      </c>
      <c r="E178" s="336"/>
      <c r="F178" s="342">
        <f t="shared" si="18"/>
        <v>4102.4875775054461</v>
      </c>
      <c r="G178" s="336">
        <f t="shared" si="22"/>
        <v>762.07291508260369</v>
      </c>
      <c r="H178" s="343">
        <f t="shared" si="19"/>
        <v>603561.74874542211</v>
      </c>
      <c r="I178" s="313"/>
      <c r="J178" s="344">
        <f t="shared" si="23"/>
        <v>3492.8292454393631</v>
      </c>
      <c r="K178" s="344">
        <f t="shared" si="24"/>
        <v>0</v>
      </c>
      <c r="L178" s="343">
        <f t="shared" si="25"/>
        <v>0</v>
      </c>
      <c r="M178" s="336"/>
      <c r="N178" s="345">
        <f>Données!S178</f>
        <v>93614.65</v>
      </c>
      <c r="O178" s="345">
        <f>Données!T178</f>
        <v>58039.8</v>
      </c>
      <c r="P178" s="345">
        <f>Données!U178</f>
        <v>242502.15</v>
      </c>
      <c r="Q178" s="318">
        <f>Données!V178</f>
        <v>50676.5</v>
      </c>
      <c r="R178" s="302">
        <f t="shared" si="20"/>
        <v>212281.25</v>
      </c>
      <c r="S178" s="322">
        <f t="shared" si="21"/>
        <v>-199880.54059087409</v>
      </c>
      <c r="T178" s="323">
        <f t="shared" si="26"/>
        <v>12400.709409125906</v>
      </c>
    </row>
    <row r="179" spans="1:20" x14ac:dyDescent="0.25">
      <c r="A179" s="148">
        <f>Données!A179</f>
        <v>5706</v>
      </c>
      <c r="B179" s="160" t="str">
        <f>Données!B179</f>
        <v>Borex</v>
      </c>
      <c r="C179" s="321">
        <f>Données!C179</f>
        <v>1144</v>
      </c>
      <c r="D179" s="318">
        <f>RFS!W179</f>
        <v>4548907.224363178</v>
      </c>
      <c r="E179" s="336"/>
      <c r="F179" s="342">
        <f t="shared" si="18"/>
        <v>3976.3175038139666</v>
      </c>
      <c r="G179" s="336">
        <f t="shared" si="22"/>
        <v>635.90284139112418</v>
      </c>
      <c r="H179" s="343">
        <f t="shared" si="19"/>
        <v>581978.28044115682</v>
      </c>
      <c r="I179" s="313"/>
      <c r="J179" s="344">
        <f t="shared" si="23"/>
        <v>3467.5952307010675</v>
      </c>
      <c r="K179" s="344">
        <f t="shared" si="24"/>
        <v>0</v>
      </c>
      <c r="L179" s="343">
        <f t="shared" si="25"/>
        <v>0</v>
      </c>
      <c r="M179" s="336"/>
      <c r="N179" s="345">
        <f>Données!S179</f>
        <v>149554.6</v>
      </c>
      <c r="O179" s="345">
        <f>Données!T179</f>
        <v>72500</v>
      </c>
      <c r="P179" s="345">
        <f>Données!U179</f>
        <v>175080</v>
      </c>
      <c r="Q179" s="318">
        <f>Données!V179</f>
        <v>8706.7999999999993</v>
      </c>
      <c r="R179" s="302">
        <f t="shared" si="20"/>
        <v>201179.34</v>
      </c>
      <c r="S179" s="322">
        <f t="shared" si="21"/>
        <v>-230973.06912723227</v>
      </c>
      <c r="T179" s="323">
        <f t="shared" si="26"/>
        <v>-29793.729127232276</v>
      </c>
    </row>
    <row r="180" spans="1:20" x14ac:dyDescent="0.25">
      <c r="A180" s="148">
        <f>Données!A180</f>
        <v>5707</v>
      </c>
      <c r="B180" s="160" t="str">
        <f>Données!B180</f>
        <v>Chavannes-de-Bogis</v>
      </c>
      <c r="C180" s="321">
        <f>Données!C180</f>
        <v>1388</v>
      </c>
      <c r="D180" s="318">
        <f>RFS!W180</f>
        <v>6664932.969765475</v>
      </c>
      <c r="E180" s="336"/>
      <c r="F180" s="342">
        <f t="shared" si="18"/>
        <v>4801.8249061710912</v>
      </c>
      <c r="G180" s="336">
        <f t="shared" si="22"/>
        <v>1461.4102437482488</v>
      </c>
      <c r="H180" s="343">
        <f t="shared" si="19"/>
        <v>1622749.9346580557</v>
      </c>
      <c r="I180" s="313"/>
      <c r="J180" s="344">
        <f t="shared" si="23"/>
        <v>3632.6967111724921</v>
      </c>
      <c r="K180" s="344">
        <f t="shared" si="24"/>
        <v>0</v>
      </c>
      <c r="L180" s="343">
        <f t="shared" si="25"/>
        <v>0</v>
      </c>
      <c r="M180" s="336"/>
      <c r="N180" s="345">
        <f>Données!S180</f>
        <v>109564</v>
      </c>
      <c r="O180" s="345">
        <f>Données!T180</f>
        <v>0</v>
      </c>
      <c r="P180" s="345">
        <f>Données!U180</f>
        <v>153781.6</v>
      </c>
      <c r="Q180" s="318">
        <f>Données!V180</f>
        <v>685460.6</v>
      </c>
      <c r="R180" s="302">
        <f t="shared" si="20"/>
        <v>337310.98</v>
      </c>
      <c r="S180" s="322">
        <f t="shared" si="21"/>
        <v>-280236.55589912448</v>
      </c>
      <c r="T180" s="323">
        <f t="shared" si="26"/>
        <v>57074.424100875505</v>
      </c>
    </row>
    <row r="181" spans="1:20" x14ac:dyDescent="0.25">
      <c r="A181" s="148">
        <f>Données!A181</f>
        <v>5708</v>
      </c>
      <c r="B181" s="160" t="str">
        <f>Données!B181</f>
        <v>Chavannes-des-Bois</v>
      </c>
      <c r="C181" s="321">
        <f>Données!C181</f>
        <v>982</v>
      </c>
      <c r="D181" s="318">
        <f>RFS!W181</f>
        <v>4751470.2670825003</v>
      </c>
      <c r="E181" s="336"/>
      <c r="F181" s="342">
        <f t="shared" si="18"/>
        <v>4838.5644267642565</v>
      </c>
      <c r="G181" s="336">
        <f t="shared" si="22"/>
        <v>1498.1497643414141</v>
      </c>
      <c r="H181" s="343">
        <f t="shared" si="19"/>
        <v>1176946.4548666149</v>
      </c>
      <c r="I181" s="313"/>
      <c r="J181" s="344">
        <f t="shared" si="23"/>
        <v>3640.0446152911254</v>
      </c>
      <c r="K181" s="344">
        <f t="shared" si="24"/>
        <v>0</v>
      </c>
      <c r="L181" s="343">
        <f t="shared" si="25"/>
        <v>0</v>
      </c>
      <c r="M181" s="336"/>
      <c r="N181" s="345">
        <f>Données!S181</f>
        <v>62549.65</v>
      </c>
      <c r="O181" s="345">
        <f>Données!T181</f>
        <v>0</v>
      </c>
      <c r="P181" s="345">
        <f>Données!U181</f>
        <v>79350.55</v>
      </c>
      <c r="Q181" s="318">
        <f>Données!V181</f>
        <v>17492.2</v>
      </c>
      <c r="R181" s="302">
        <f t="shared" si="20"/>
        <v>76197.760000000009</v>
      </c>
      <c r="S181" s="322">
        <f t="shared" si="21"/>
        <v>-198265.34430327106</v>
      </c>
      <c r="T181" s="323">
        <f t="shared" si="26"/>
        <v>-122067.58430327105</v>
      </c>
    </row>
    <row r="182" spans="1:20" x14ac:dyDescent="0.25">
      <c r="A182" s="148">
        <f>Données!A182</f>
        <v>5709</v>
      </c>
      <c r="B182" s="160" t="str">
        <f>Données!B182</f>
        <v>Chéserex</v>
      </c>
      <c r="C182" s="321">
        <f>Données!C182</f>
        <v>1277</v>
      </c>
      <c r="D182" s="318">
        <f>RFS!W182</f>
        <v>7418265.609721587</v>
      </c>
      <c r="E182" s="336"/>
      <c r="F182" s="342">
        <f t="shared" si="18"/>
        <v>5809.1351681453307</v>
      </c>
      <c r="G182" s="336">
        <f t="shared" si="22"/>
        <v>2468.7205057224883</v>
      </c>
      <c r="H182" s="343">
        <f t="shared" si="19"/>
        <v>2522044.8686460941</v>
      </c>
      <c r="I182" s="313"/>
      <c r="J182" s="344">
        <f t="shared" si="23"/>
        <v>3834.15876356734</v>
      </c>
      <c r="K182" s="344">
        <f t="shared" si="24"/>
        <v>0</v>
      </c>
      <c r="L182" s="343">
        <f t="shared" si="25"/>
        <v>0</v>
      </c>
      <c r="M182" s="336"/>
      <c r="N182" s="345">
        <f>Données!S182</f>
        <v>313690.5</v>
      </c>
      <c r="O182" s="345">
        <f>Données!T182</f>
        <v>0</v>
      </c>
      <c r="P182" s="345">
        <f>Données!U182</f>
        <v>402500.45</v>
      </c>
      <c r="Q182" s="318">
        <f>Données!V182</f>
        <v>63278.55</v>
      </c>
      <c r="R182" s="302">
        <f t="shared" si="20"/>
        <v>377079.03999999998</v>
      </c>
      <c r="S182" s="322">
        <f t="shared" si="21"/>
        <v>-257825.70740863253</v>
      </c>
      <c r="T182" s="323">
        <f t="shared" si="26"/>
        <v>119253.33259136745</v>
      </c>
    </row>
    <row r="183" spans="1:20" x14ac:dyDescent="0.25">
      <c r="A183" s="148">
        <f>Données!A183</f>
        <v>5710</v>
      </c>
      <c r="B183" s="160" t="str">
        <f>Données!B183</f>
        <v>Coinsins</v>
      </c>
      <c r="C183" s="321">
        <f>Données!C183</f>
        <v>517</v>
      </c>
      <c r="D183" s="318">
        <f>RFS!W183</f>
        <v>1678172.336097671</v>
      </c>
      <c r="E183" s="336"/>
      <c r="F183" s="342">
        <f t="shared" si="18"/>
        <v>3245.9813077324388</v>
      </c>
      <c r="G183" s="336">
        <f t="shared" si="22"/>
        <v>-94.433354690403576</v>
      </c>
      <c r="H183" s="343">
        <f t="shared" si="19"/>
        <v>-39057.63549995092</v>
      </c>
      <c r="I183" s="313"/>
      <c r="J183" s="344">
        <f t="shared" si="23"/>
        <v>3321.5279914847615</v>
      </c>
      <c r="K183" s="344">
        <f t="shared" si="24"/>
        <v>0</v>
      </c>
      <c r="L183" s="343">
        <f t="shared" si="25"/>
        <v>0</v>
      </c>
      <c r="M183" s="336"/>
      <c r="N183" s="345">
        <f>Données!S183</f>
        <v>148940</v>
      </c>
      <c r="O183" s="345">
        <f>Données!T183</f>
        <v>0</v>
      </c>
      <c r="P183" s="345">
        <f>Données!U183</f>
        <v>8887.4500000000007</v>
      </c>
      <c r="Q183" s="318">
        <f>Données!V183</f>
        <v>79291.05</v>
      </c>
      <c r="R183" s="302">
        <f t="shared" si="20"/>
        <v>102701.04000000001</v>
      </c>
      <c r="S183" s="322">
        <f t="shared" si="21"/>
        <v>-104382.06008634536</v>
      </c>
      <c r="T183" s="323">
        <f t="shared" si="26"/>
        <v>-1681.0200863453501</v>
      </c>
    </row>
    <row r="184" spans="1:20" x14ac:dyDescent="0.25">
      <c r="A184" s="148">
        <f>Données!A184</f>
        <v>5711</v>
      </c>
      <c r="B184" s="160" t="str">
        <f>Données!B184</f>
        <v>Commugny</v>
      </c>
      <c r="C184" s="321">
        <f>Données!C184</f>
        <v>2987</v>
      </c>
      <c r="D184" s="318">
        <f>RFS!W184</f>
        <v>19683839.9202081</v>
      </c>
      <c r="E184" s="336"/>
      <c r="F184" s="342">
        <f t="shared" si="18"/>
        <v>6589.8359290954468</v>
      </c>
      <c r="G184" s="336">
        <f t="shared" si="22"/>
        <v>3249.4212666726044</v>
      </c>
      <c r="H184" s="343">
        <f t="shared" si="19"/>
        <v>7764817.0588408569</v>
      </c>
      <c r="I184" s="313"/>
      <c r="J184" s="344">
        <f t="shared" si="23"/>
        <v>3990.2989157573629</v>
      </c>
      <c r="K184" s="344">
        <f t="shared" si="24"/>
        <v>0</v>
      </c>
      <c r="L184" s="343">
        <f t="shared" si="25"/>
        <v>0</v>
      </c>
      <c r="M184" s="336"/>
      <c r="N184" s="345">
        <f>Données!S184</f>
        <v>670743.35</v>
      </c>
      <c r="O184" s="345">
        <f>Données!T184</f>
        <v>0</v>
      </c>
      <c r="P184" s="345">
        <f>Données!U184</f>
        <v>984291.35</v>
      </c>
      <c r="Q184" s="318">
        <f>Données!V184</f>
        <v>37825.300000000003</v>
      </c>
      <c r="R184" s="302">
        <f t="shared" si="20"/>
        <v>838864.94</v>
      </c>
      <c r="S184" s="322">
        <f t="shared" si="21"/>
        <v>-603073.91388377873</v>
      </c>
      <c r="T184" s="323">
        <f t="shared" si="26"/>
        <v>235791.02611622121</v>
      </c>
    </row>
    <row r="185" spans="1:20" x14ac:dyDescent="0.25">
      <c r="A185" s="148">
        <f>Données!A185</f>
        <v>5712</v>
      </c>
      <c r="B185" s="160" t="str">
        <f>Données!B185</f>
        <v>Coppet</v>
      </c>
      <c r="C185" s="321">
        <f>Données!C185</f>
        <v>3216</v>
      </c>
      <c r="D185" s="318">
        <f>RFS!W185</f>
        <v>27480716.864048887</v>
      </c>
      <c r="E185" s="336"/>
      <c r="F185" s="342">
        <f t="shared" si="18"/>
        <v>8544.9990248908234</v>
      </c>
      <c r="G185" s="336">
        <f t="shared" si="22"/>
        <v>5204.584362467981</v>
      </c>
      <c r="H185" s="343">
        <f t="shared" si="19"/>
        <v>13390354.647757621</v>
      </c>
      <c r="I185" s="313"/>
      <c r="J185" s="344">
        <f t="shared" si="23"/>
        <v>4381.3315349164386</v>
      </c>
      <c r="K185" s="344">
        <f t="shared" si="24"/>
        <v>0</v>
      </c>
      <c r="L185" s="343">
        <f t="shared" si="25"/>
        <v>0</v>
      </c>
      <c r="M185" s="336"/>
      <c r="N185" s="345">
        <f>Données!S185</f>
        <v>614129.94999999995</v>
      </c>
      <c r="O185" s="345">
        <f>Données!T185</f>
        <v>124381</v>
      </c>
      <c r="P185" s="345">
        <f>Données!U185</f>
        <v>1156041.6499999999</v>
      </c>
      <c r="Q185" s="318">
        <f>Données!V185</f>
        <v>176541.3</v>
      </c>
      <c r="R185" s="302">
        <f t="shared" si="20"/>
        <v>1000238.69</v>
      </c>
      <c r="S185" s="322">
        <f t="shared" si="21"/>
        <v>-649308.90761641518</v>
      </c>
      <c r="T185" s="323">
        <f t="shared" si="26"/>
        <v>350929.78238358477</v>
      </c>
    </row>
    <row r="186" spans="1:20" x14ac:dyDescent="0.25">
      <c r="A186" s="148">
        <f>Données!A186</f>
        <v>5713</v>
      </c>
      <c r="B186" s="160" t="str">
        <f>Données!B186</f>
        <v>Crans</v>
      </c>
      <c r="C186" s="321">
        <f>Données!C186</f>
        <v>2455</v>
      </c>
      <c r="D186" s="318">
        <f>RFS!W186</f>
        <v>19079730.538690928</v>
      </c>
      <c r="E186" s="336"/>
      <c r="F186" s="342">
        <f t="shared" si="18"/>
        <v>7771.7843334789932</v>
      </c>
      <c r="G186" s="336">
        <f t="shared" si="22"/>
        <v>4431.3696710561508</v>
      </c>
      <c r="H186" s="343">
        <f t="shared" si="19"/>
        <v>8703210.0339542814</v>
      </c>
      <c r="I186" s="313"/>
      <c r="J186" s="344">
        <f t="shared" si="23"/>
        <v>4226.6885966340724</v>
      </c>
      <c r="K186" s="344">
        <f t="shared" si="24"/>
        <v>0</v>
      </c>
      <c r="L186" s="343">
        <f t="shared" si="25"/>
        <v>0</v>
      </c>
      <c r="M186" s="336"/>
      <c r="N186" s="345">
        <f>Données!S186</f>
        <v>447645</v>
      </c>
      <c r="O186" s="345">
        <f>Données!T186</f>
        <v>1264102.7</v>
      </c>
      <c r="P186" s="345">
        <f>Données!U186</f>
        <v>1202659.1499999999</v>
      </c>
      <c r="Q186" s="318">
        <f>Données!V186</f>
        <v>36110.85</v>
      </c>
      <c r="R186" s="302">
        <f t="shared" si="20"/>
        <v>1468036.6799999997</v>
      </c>
      <c r="S186" s="322">
        <f t="shared" si="21"/>
        <v>-495663.36075817765</v>
      </c>
      <c r="T186" s="323">
        <f t="shared" si="26"/>
        <v>972373.319241822</v>
      </c>
    </row>
    <row r="187" spans="1:20" x14ac:dyDescent="0.25">
      <c r="A187" s="148">
        <f>Données!A187</f>
        <v>5714</v>
      </c>
      <c r="B187" s="160" t="str">
        <f>Données!B187</f>
        <v>Crassier</v>
      </c>
      <c r="C187" s="321">
        <f>Données!C187</f>
        <v>1274</v>
      </c>
      <c r="D187" s="318">
        <f>RFS!W187</f>
        <v>4517011.8381421985</v>
      </c>
      <c r="E187" s="336"/>
      <c r="F187" s="342">
        <f t="shared" si="18"/>
        <v>3545.535194774096</v>
      </c>
      <c r="G187" s="336">
        <f t="shared" si="22"/>
        <v>205.12053235125359</v>
      </c>
      <c r="H187" s="343">
        <f t="shared" si="19"/>
        <v>209058.84657239768</v>
      </c>
      <c r="I187" s="313"/>
      <c r="J187" s="344">
        <f t="shared" si="23"/>
        <v>3381.4387688930933</v>
      </c>
      <c r="K187" s="344">
        <f t="shared" si="24"/>
        <v>0</v>
      </c>
      <c r="L187" s="343">
        <f t="shared" si="25"/>
        <v>0</v>
      </c>
      <c r="M187" s="336"/>
      <c r="N187" s="345">
        <f>Données!S187</f>
        <v>122265</v>
      </c>
      <c r="O187" s="345">
        <f>Données!T187</f>
        <v>0</v>
      </c>
      <c r="P187" s="345">
        <f>Données!U187</f>
        <v>185378.3</v>
      </c>
      <c r="Q187" s="318">
        <f>Données!V187</f>
        <v>127997.55</v>
      </c>
      <c r="R187" s="302">
        <f t="shared" si="20"/>
        <v>192220.91499999998</v>
      </c>
      <c r="S187" s="322">
        <f t="shared" si="21"/>
        <v>-257220.00880078139</v>
      </c>
      <c r="T187" s="323">
        <f t="shared" si="26"/>
        <v>-64999.093800781411</v>
      </c>
    </row>
    <row r="188" spans="1:20" x14ac:dyDescent="0.25">
      <c r="A188" s="148">
        <f>Données!A188</f>
        <v>5715</v>
      </c>
      <c r="B188" s="160" t="str">
        <f>Données!B188</f>
        <v>Duillier</v>
      </c>
      <c r="C188" s="321">
        <f>Données!C188</f>
        <v>1143</v>
      </c>
      <c r="D188" s="318">
        <f>RFS!W188</f>
        <v>3940019.4491419359</v>
      </c>
      <c r="E188" s="336"/>
      <c r="F188" s="342">
        <f t="shared" si="18"/>
        <v>3447.086132232665</v>
      </c>
      <c r="G188" s="336">
        <f t="shared" si="22"/>
        <v>106.67146980982261</v>
      </c>
      <c r="H188" s="343">
        <f t="shared" si="19"/>
        <v>97540.391994101796</v>
      </c>
      <c r="I188" s="313"/>
      <c r="J188" s="344">
        <f t="shared" si="23"/>
        <v>3361.7489563848071</v>
      </c>
      <c r="K188" s="344">
        <f t="shared" si="24"/>
        <v>0</v>
      </c>
      <c r="L188" s="343">
        <f t="shared" si="25"/>
        <v>0</v>
      </c>
      <c r="M188" s="336"/>
      <c r="N188" s="345">
        <f>Données!S188</f>
        <v>121294.3</v>
      </c>
      <c r="O188" s="345">
        <f>Données!T188</f>
        <v>1677</v>
      </c>
      <c r="P188" s="345">
        <f>Données!U188</f>
        <v>220963.6</v>
      </c>
      <c r="Q188" s="318">
        <f>Données!V188</f>
        <v>137616.95000000001</v>
      </c>
      <c r="R188" s="302">
        <f t="shared" si="20"/>
        <v>213252.535</v>
      </c>
      <c r="S188" s="322">
        <f t="shared" si="21"/>
        <v>-230771.16959128191</v>
      </c>
      <c r="T188" s="323">
        <f t="shared" si="26"/>
        <v>-17518.634591281909</v>
      </c>
    </row>
    <row r="189" spans="1:20" x14ac:dyDescent="0.25">
      <c r="A189" s="148">
        <f>Données!A189</f>
        <v>5716</v>
      </c>
      <c r="B189" s="160" t="str">
        <f>Données!B189</f>
        <v>Eysins</v>
      </c>
      <c r="C189" s="321">
        <f>Données!C189</f>
        <v>1772</v>
      </c>
      <c r="D189" s="318">
        <f>RFS!W189</f>
        <v>26064554.057470873</v>
      </c>
      <c r="E189" s="336"/>
      <c r="F189" s="342">
        <f t="shared" si="18"/>
        <v>14709.116285254442</v>
      </c>
      <c r="G189" s="336">
        <f t="shared" si="22"/>
        <v>11368.701622831599</v>
      </c>
      <c r="H189" s="343">
        <f t="shared" si="19"/>
        <v>16116271.420526076</v>
      </c>
      <c r="I189" s="313"/>
      <c r="J189" s="344">
        <f t="shared" si="23"/>
        <v>5614.1549869891624</v>
      </c>
      <c r="K189" s="344">
        <f t="shared" si="24"/>
        <v>0</v>
      </c>
      <c r="L189" s="343">
        <f t="shared" si="25"/>
        <v>0</v>
      </c>
      <c r="M189" s="336"/>
      <c r="N189" s="345">
        <f>Données!S189</f>
        <v>866502.1</v>
      </c>
      <c r="O189" s="345">
        <f>Données!T189</f>
        <v>17583.3</v>
      </c>
      <c r="P189" s="345">
        <f>Données!U189</f>
        <v>172333.65</v>
      </c>
      <c r="Q189" s="318">
        <f>Données!V189</f>
        <v>529807</v>
      </c>
      <c r="R189" s="302">
        <f t="shared" si="20"/>
        <v>687151.625</v>
      </c>
      <c r="S189" s="322">
        <f t="shared" si="21"/>
        <v>-357765.97770406958</v>
      </c>
      <c r="T189" s="323">
        <f t="shared" si="26"/>
        <v>329385.64729593042</v>
      </c>
    </row>
    <row r="190" spans="1:20" x14ac:dyDescent="0.25">
      <c r="A190" s="148">
        <f>Données!A190</f>
        <v>5717</v>
      </c>
      <c r="B190" s="160" t="str">
        <f>Données!B190</f>
        <v>Founex</v>
      </c>
      <c r="C190" s="321">
        <f>Données!C190</f>
        <v>3748</v>
      </c>
      <c r="D190" s="318">
        <f>RFS!W190</f>
        <v>26051038.456459448</v>
      </c>
      <c r="E190" s="336"/>
      <c r="F190" s="342">
        <f t="shared" si="18"/>
        <v>6950.6506020436091</v>
      </c>
      <c r="G190" s="336">
        <f t="shared" si="22"/>
        <v>3610.2359396207667</v>
      </c>
      <c r="H190" s="343">
        <f t="shared" si="19"/>
        <v>10824931.441358907</v>
      </c>
      <c r="I190" s="313"/>
      <c r="J190" s="344">
        <f t="shared" si="23"/>
        <v>4062.4618503469956</v>
      </c>
      <c r="K190" s="344">
        <f t="shared" si="24"/>
        <v>0</v>
      </c>
      <c r="L190" s="343">
        <f t="shared" si="25"/>
        <v>0</v>
      </c>
      <c r="M190" s="336"/>
      <c r="N190" s="345">
        <f>Données!S190</f>
        <v>1066244</v>
      </c>
      <c r="O190" s="345">
        <f>Données!T190</f>
        <v>16565.400000000001</v>
      </c>
      <c r="P190" s="345">
        <f>Données!U190</f>
        <v>1144081.1000000001</v>
      </c>
      <c r="Q190" s="318">
        <f>Données!V190</f>
        <v>281693.75</v>
      </c>
      <c r="R190" s="302">
        <f t="shared" si="20"/>
        <v>1197953.375</v>
      </c>
      <c r="S190" s="322">
        <f t="shared" si="21"/>
        <v>-756719.46074201621</v>
      </c>
      <c r="T190" s="323">
        <f t="shared" si="26"/>
        <v>441233.91425798379</v>
      </c>
    </row>
    <row r="191" spans="1:20" x14ac:dyDescent="0.25">
      <c r="A191" s="148">
        <f>Données!A191</f>
        <v>5718</v>
      </c>
      <c r="B191" s="160" t="str">
        <f>Données!B191</f>
        <v>Genolier</v>
      </c>
      <c r="C191" s="321">
        <f>Données!C191</f>
        <v>2012</v>
      </c>
      <c r="D191" s="318">
        <f>RFS!W191</f>
        <v>12802289.63816425</v>
      </c>
      <c r="E191" s="336"/>
      <c r="F191" s="342">
        <f t="shared" si="18"/>
        <v>6362.9670169802439</v>
      </c>
      <c r="G191" s="336">
        <f t="shared" si="22"/>
        <v>3022.5523545574015</v>
      </c>
      <c r="H191" s="343">
        <f t="shared" si="19"/>
        <v>4865100.2698955936</v>
      </c>
      <c r="I191" s="313"/>
      <c r="J191" s="344">
        <f t="shared" si="23"/>
        <v>3944.9251333343227</v>
      </c>
      <c r="K191" s="344">
        <f t="shared" si="24"/>
        <v>0</v>
      </c>
      <c r="L191" s="343">
        <f t="shared" si="25"/>
        <v>0</v>
      </c>
      <c r="M191" s="336"/>
      <c r="N191" s="345">
        <f>Données!S191</f>
        <v>382445.6</v>
      </c>
      <c r="O191" s="345">
        <f>Données!T191</f>
        <v>165093.20000000001</v>
      </c>
      <c r="P191" s="345">
        <f>Données!U191</f>
        <v>649248.15</v>
      </c>
      <c r="Q191" s="318">
        <f>Données!V191</f>
        <v>286221.3</v>
      </c>
      <c r="R191" s="302">
        <f t="shared" si="20"/>
        <v>684259.86500000011</v>
      </c>
      <c r="S191" s="322">
        <f t="shared" si="21"/>
        <v>-406221.86633216025</v>
      </c>
      <c r="T191" s="323">
        <f t="shared" si="26"/>
        <v>278037.99866783986</v>
      </c>
    </row>
    <row r="192" spans="1:20" x14ac:dyDescent="0.25">
      <c r="A192" s="148">
        <f>Données!A192</f>
        <v>5719</v>
      </c>
      <c r="B192" s="160" t="str">
        <f>Données!B192</f>
        <v>Gingins</v>
      </c>
      <c r="C192" s="321">
        <f>Données!C192</f>
        <v>1253</v>
      </c>
      <c r="D192" s="318">
        <f>RFS!W192</f>
        <v>11632476.811025184</v>
      </c>
      <c r="E192" s="336"/>
      <c r="F192" s="342">
        <f t="shared" si="18"/>
        <v>9283.700567458247</v>
      </c>
      <c r="G192" s="336">
        <f t="shared" si="22"/>
        <v>5943.2859050354045</v>
      </c>
      <c r="H192" s="343">
        <f t="shared" si="19"/>
        <v>5957549.7912074896</v>
      </c>
      <c r="I192" s="313"/>
      <c r="J192" s="344">
        <f t="shared" si="23"/>
        <v>4529.0718434299233</v>
      </c>
      <c r="K192" s="344">
        <f t="shared" si="24"/>
        <v>0</v>
      </c>
      <c r="L192" s="343">
        <f t="shared" si="25"/>
        <v>0</v>
      </c>
      <c r="M192" s="336"/>
      <c r="N192" s="345">
        <f>Données!S192</f>
        <v>95549.4</v>
      </c>
      <c r="O192" s="345">
        <f>Données!T192</f>
        <v>214858.30000000005</v>
      </c>
      <c r="P192" s="345">
        <f>Données!U192</f>
        <v>150212.29999999999</v>
      </c>
      <c r="Q192" s="318">
        <f>Données!V192</f>
        <v>78243.899999999994</v>
      </c>
      <c r="R192" s="302">
        <f t="shared" si="20"/>
        <v>253783.17000000004</v>
      </c>
      <c r="S192" s="322">
        <f t="shared" si="21"/>
        <v>-252980.11854582347</v>
      </c>
      <c r="T192" s="323">
        <f t="shared" si="26"/>
        <v>803.05145417657332</v>
      </c>
    </row>
    <row r="193" spans="1:20" x14ac:dyDescent="0.25">
      <c r="A193" s="148">
        <f>Données!A193</f>
        <v>5720</v>
      </c>
      <c r="B193" s="160" t="str">
        <f>Données!B193</f>
        <v>Givrins</v>
      </c>
      <c r="C193" s="321">
        <f>Données!C193</f>
        <v>1071</v>
      </c>
      <c r="D193" s="318">
        <f>RFS!W193</f>
        <v>5216648.3767428361</v>
      </c>
      <c r="E193" s="336"/>
      <c r="F193" s="342">
        <f t="shared" si="18"/>
        <v>4870.8201463518544</v>
      </c>
      <c r="G193" s="336">
        <f t="shared" si="22"/>
        <v>1530.405483929012</v>
      </c>
      <c r="H193" s="343">
        <f t="shared" si="19"/>
        <v>1311251.4186303774</v>
      </c>
      <c r="I193" s="313"/>
      <c r="J193" s="344">
        <f t="shared" si="23"/>
        <v>3646.4957592086448</v>
      </c>
      <c r="K193" s="344">
        <f t="shared" si="24"/>
        <v>0</v>
      </c>
      <c r="L193" s="343">
        <f t="shared" si="25"/>
        <v>0</v>
      </c>
      <c r="M193" s="336"/>
      <c r="N193" s="345">
        <f>Données!S193</f>
        <v>130313.15</v>
      </c>
      <c r="O193" s="345">
        <f>Données!T193</f>
        <v>103000.29999999981</v>
      </c>
      <c r="P193" s="345">
        <f>Données!U193</f>
        <v>201082.35</v>
      </c>
      <c r="Q193" s="318">
        <f>Données!V193</f>
        <v>33034.550000000003</v>
      </c>
      <c r="R193" s="302">
        <f t="shared" si="20"/>
        <v>227108.2649999999</v>
      </c>
      <c r="S193" s="322">
        <f t="shared" si="21"/>
        <v>-216234.4030028547</v>
      </c>
      <c r="T193" s="323">
        <f t="shared" si="26"/>
        <v>10873.861997145199</v>
      </c>
    </row>
    <row r="194" spans="1:20" x14ac:dyDescent="0.25">
      <c r="A194" s="148">
        <f>Données!A194</f>
        <v>5721</v>
      </c>
      <c r="B194" s="160" t="str">
        <f>Données!B194</f>
        <v>Gland</v>
      </c>
      <c r="C194" s="321">
        <f>Données!C194</f>
        <v>13968</v>
      </c>
      <c r="D194" s="318">
        <f>RFS!W194</f>
        <v>48632321.484263539</v>
      </c>
      <c r="E194" s="336"/>
      <c r="F194" s="342">
        <f t="shared" si="18"/>
        <v>3481.6954098126816</v>
      </c>
      <c r="G194" s="336">
        <f t="shared" si="22"/>
        <v>141.28074738983923</v>
      </c>
      <c r="H194" s="343">
        <f t="shared" si="19"/>
        <v>1578727.5836330196</v>
      </c>
      <c r="I194" s="313"/>
      <c r="J194" s="344">
        <f t="shared" si="23"/>
        <v>3368.6708119008103</v>
      </c>
      <c r="K194" s="344">
        <f t="shared" si="24"/>
        <v>0</v>
      </c>
      <c r="L194" s="343">
        <f t="shared" si="25"/>
        <v>0</v>
      </c>
      <c r="M194" s="336"/>
      <c r="N194" s="345">
        <f>Données!S194</f>
        <v>2001477.35</v>
      </c>
      <c r="O194" s="345">
        <f>Données!T194</f>
        <v>1307590.8999999999</v>
      </c>
      <c r="P194" s="345">
        <f>Données!U194</f>
        <v>1254460.1000000001</v>
      </c>
      <c r="Q194" s="318">
        <f>Données!V194</f>
        <v>3112233.75</v>
      </c>
      <c r="R194" s="302">
        <f t="shared" si="20"/>
        <v>3215434.3</v>
      </c>
      <c r="S194" s="322">
        <f t="shared" si="21"/>
        <v>-2820132.7181548779</v>
      </c>
      <c r="T194" s="323">
        <f t="shared" si="26"/>
        <v>395301.58184512192</v>
      </c>
    </row>
    <row r="195" spans="1:20" x14ac:dyDescent="0.25">
      <c r="A195" s="148">
        <f>Données!A195</f>
        <v>5722</v>
      </c>
      <c r="B195" s="160" t="str">
        <f>Données!B195</f>
        <v>Grens</v>
      </c>
      <c r="C195" s="321">
        <f>Données!C195</f>
        <v>394</v>
      </c>
      <c r="D195" s="318">
        <f>RFS!W195</f>
        <v>1897729.6152593188</v>
      </c>
      <c r="E195" s="336"/>
      <c r="F195" s="342">
        <f t="shared" si="18"/>
        <v>4816.5726275617226</v>
      </c>
      <c r="G195" s="336">
        <f t="shared" si="22"/>
        <v>1476.1579651388802</v>
      </c>
      <c r="H195" s="343">
        <f t="shared" si="19"/>
        <v>465284.99061177508</v>
      </c>
      <c r="I195" s="313"/>
      <c r="J195" s="344">
        <f t="shared" si="23"/>
        <v>3635.6462554506184</v>
      </c>
      <c r="K195" s="344">
        <f t="shared" si="24"/>
        <v>0</v>
      </c>
      <c r="L195" s="343">
        <f t="shared" si="25"/>
        <v>0</v>
      </c>
      <c r="M195" s="336"/>
      <c r="N195" s="345">
        <f>Données!S195</f>
        <v>17820</v>
      </c>
      <c r="O195" s="345">
        <f>Données!T195</f>
        <v>48704.4</v>
      </c>
      <c r="P195" s="345">
        <f>Données!U195</f>
        <v>0</v>
      </c>
      <c r="Q195" s="318">
        <f>Données!V195</f>
        <v>266399.15000000002</v>
      </c>
      <c r="R195" s="302">
        <f t="shared" si="20"/>
        <v>113181.94500000001</v>
      </c>
      <c r="S195" s="322">
        <f t="shared" si="21"/>
        <v>-79548.417164448882</v>
      </c>
      <c r="T195" s="323">
        <f t="shared" si="26"/>
        <v>33633.527835551125</v>
      </c>
    </row>
    <row r="196" spans="1:20" x14ac:dyDescent="0.25">
      <c r="A196" s="148">
        <f>Données!A196</f>
        <v>5723</v>
      </c>
      <c r="B196" s="160" t="str">
        <f>Données!B196</f>
        <v>Mies</v>
      </c>
      <c r="C196" s="321">
        <f>Données!C196</f>
        <v>2163</v>
      </c>
      <c r="D196" s="318">
        <f>RFS!W196</f>
        <v>18045734.12722579</v>
      </c>
      <c r="E196" s="336"/>
      <c r="F196" s="342">
        <f t="shared" si="18"/>
        <v>8342.9191526702689</v>
      </c>
      <c r="G196" s="336">
        <f t="shared" si="22"/>
        <v>5002.5044902474265</v>
      </c>
      <c r="H196" s="343">
        <f t="shared" si="19"/>
        <v>8656333.7699241471</v>
      </c>
      <c r="I196" s="313"/>
      <c r="J196" s="344">
        <f t="shared" si="23"/>
        <v>4340.9155604723273</v>
      </c>
      <c r="K196" s="344">
        <f t="shared" si="24"/>
        <v>0</v>
      </c>
      <c r="L196" s="343">
        <f t="shared" si="25"/>
        <v>0</v>
      </c>
      <c r="M196" s="336"/>
      <c r="N196" s="345">
        <f>Données!S196</f>
        <v>556264.35</v>
      </c>
      <c r="O196" s="345">
        <f>Données!T196</f>
        <v>254943.4</v>
      </c>
      <c r="P196" s="345">
        <f>Données!U196</f>
        <v>1557363.35</v>
      </c>
      <c r="Q196" s="318">
        <f>Données!V196</f>
        <v>239426.25</v>
      </c>
      <c r="R196" s="302">
        <f t="shared" si="20"/>
        <v>1256113.425</v>
      </c>
      <c r="S196" s="322">
        <f t="shared" si="21"/>
        <v>-436708.69626066735</v>
      </c>
      <c r="T196" s="323">
        <f t="shared" si="26"/>
        <v>819404.72873933264</v>
      </c>
    </row>
    <row r="197" spans="1:20" x14ac:dyDescent="0.25">
      <c r="A197" s="148">
        <f>Données!A197</f>
        <v>5724</v>
      </c>
      <c r="B197" s="160" t="str">
        <f>Données!B197</f>
        <v>Nyon</v>
      </c>
      <c r="C197" s="321">
        <f>Données!C197</f>
        <v>23328</v>
      </c>
      <c r="D197" s="318">
        <f>RFS!W197</f>
        <v>109592150.42674807</v>
      </c>
      <c r="E197" s="336"/>
      <c r="F197" s="342">
        <f t="shared" si="18"/>
        <v>4697.880248060188</v>
      </c>
      <c r="G197" s="336">
        <f t="shared" si="22"/>
        <v>1357.4655856373456</v>
      </c>
      <c r="H197" s="343">
        <f t="shared" si="19"/>
        <v>25333565.745398398</v>
      </c>
      <c r="I197" s="313"/>
      <c r="J197" s="344">
        <f t="shared" si="23"/>
        <v>3611.9077795503117</v>
      </c>
      <c r="K197" s="344">
        <f t="shared" si="24"/>
        <v>0</v>
      </c>
      <c r="L197" s="343">
        <f t="shared" si="25"/>
        <v>0</v>
      </c>
      <c r="M197" s="336"/>
      <c r="N197" s="345">
        <f>Données!S197</f>
        <v>4163719.75</v>
      </c>
      <c r="O197" s="345">
        <f>Données!T197</f>
        <v>2706262.2</v>
      </c>
      <c r="P197" s="345">
        <f>Données!U197</f>
        <v>1981909.9</v>
      </c>
      <c r="Q197" s="318">
        <f>Données!V197</f>
        <v>6013803.5499999998</v>
      </c>
      <c r="R197" s="302">
        <f t="shared" si="20"/>
        <v>6230086.9900000002</v>
      </c>
      <c r="S197" s="322">
        <f t="shared" si="21"/>
        <v>-4709912.374650415</v>
      </c>
      <c r="T197" s="323">
        <f t="shared" si="26"/>
        <v>1520174.6153495852</v>
      </c>
    </row>
    <row r="198" spans="1:20" x14ac:dyDescent="0.25">
      <c r="A198" s="148">
        <f>Données!A198</f>
        <v>5725</v>
      </c>
      <c r="B198" s="160" t="str">
        <f>Données!B198</f>
        <v>Prangins</v>
      </c>
      <c r="C198" s="321">
        <f>Données!C198</f>
        <v>4280</v>
      </c>
      <c r="D198" s="318">
        <f>RFS!W198</f>
        <v>24458928.071462464</v>
      </c>
      <c r="E198" s="336"/>
      <c r="F198" s="342">
        <f t="shared" si="18"/>
        <v>5714.7028204351554</v>
      </c>
      <c r="G198" s="336">
        <f t="shared" si="22"/>
        <v>2374.288158012313</v>
      </c>
      <c r="H198" s="343">
        <f t="shared" si="19"/>
        <v>8129562.6530341599</v>
      </c>
      <c r="I198" s="313"/>
      <c r="J198" s="344">
        <f t="shared" si="23"/>
        <v>3815.2722940253052</v>
      </c>
      <c r="K198" s="344">
        <f t="shared" si="24"/>
        <v>0</v>
      </c>
      <c r="L198" s="343">
        <f t="shared" si="25"/>
        <v>0</v>
      </c>
      <c r="M198" s="336"/>
      <c r="N198" s="345">
        <f>Données!S198</f>
        <v>513723.35</v>
      </c>
      <c r="O198" s="345">
        <f>Données!T198</f>
        <v>50119</v>
      </c>
      <c r="P198" s="345">
        <f>Données!U198</f>
        <v>744790.25</v>
      </c>
      <c r="Q198" s="318">
        <f>Données!V198</f>
        <v>1404229.05</v>
      </c>
      <c r="R198" s="302">
        <f t="shared" si="20"/>
        <v>1075585.0150000001</v>
      </c>
      <c r="S198" s="322">
        <f t="shared" si="21"/>
        <v>-864130.01386761724</v>
      </c>
      <c r="T198" s="323">
        <f t="shared" si="26"/>
        <v>211455.00113238289</v>
      </c>
    </row>
    <row r="199" spans="1:20" x14ac:dyDescent="0.25">
      <c r="A199" s="148">
        <f>Données!A199</f>
        <v>5726</v>
      </c>
      <c r="B199" s="160" t="str">
        <f>Données!B199</f>
        <v>La Rippe</v>
      </c>
      <c r="C199" s="321">
        <f>Données!C199</f>
        <v>1194</v>
      </c>
      <c r="D199" s="318">
        <f>RFS!W199</f>
        <v>4935863.2715508444</v>
      </c>
      <c r="E199" s="336"/>
      <c r="F199" s="342">
        <f t="shared" si="18"/>
        <v>4133.8888371447611</v>
      </c>
      <c r="G199" s="336">
        <f t="shared" si="22"/>
        <v>793.47417472191864</v>
      </c>
      <c r="H199" s="343">
        <f t="shared" si="19"/>
        <v>757926.53169437672</v>
      </c>
      <c r="I199" s="313"/>
      <c r="J199" s="344">
        <f t="shared" si="23"/>
        <v>3499.1094973672261</v>
      </c>
      <c r="K199" s="344">
        <f t="shared" si="24"/>
        <v>0</v>
      </c>
      <c r="L199" s="343">
        <f t="shared" si="25"/>
        <v>0</v>
      </c>
      <c r="M199" s="336"/>
      <c r="N199" s="345">
        <f>Données!S199</f>
        <v>53679.199999999997</v>
      </c>
      <c r="O199" s="345">
        <f>Données!T199</f>
        <v>13496</v>
      </c>
      <c r="P199" s="345">
        <f>Données!U199</f>
        <v>125765.9</v>
      </c>
      <c r="Q199" s="318">
        <f>Données!V199</f>
        <v>30191.8</v>
      </c>
      <c r="R199" s="302">
        <f t="shared" si="20"/>
        <v>105528.08999999998</v>
      </c>
      <c r="S199" s="322">
        <f t="shared" si="21"/>
        <v>-241068.04592475118</v>
      </c>
      <c r="T199" s="323">
        <f t="shared" si="26"/>
        <v>-135539.95592475118</v>
      </c>
    </row>
    <row r="200" spans="1:20" x14ac:dyDescent="0.25">
      <c r="A200" s="148">
        <f>Données!A200</f>
        <v>5727</v>
      </c>
      <c r="B200" s="160" t="str">
        <f>Données!B200</f>
        <v>Saint-Cergue</v>
      </c>
      <c r="C200" s="321">
        <f>Données!C200</f>
        <v>3012</v>
      </c>
      <c r="D200" s="318">
        <f>RFS!W200</f>
        <v>7526664.9917424107</v>
      </c>
      <c r="E200" s="336"/>
      <c r="F200" s="342">
        <f t="shared" ref="F200:F263" si="27">D200/C200</f>
        <v>2498.892759542633</v>
      </c>
      <c r="G200" s="336">
        <f t="shared" si="22"/>
        <v>-841.52190288020938</v>
      </c>
      <c r="H200" s="343">
        <f t="shared" ref="H200:H263" si="28">G200*$G$6*C200</f>
        <v>-2027731.1771801526</v>
      </c>
      <c r="I200" s="313"/>
      <c r="J200" s="344">
        <f t="shared" si="23"/>
        <v>3172.1102818468007</v>
      </c>
      <c r="K200" s="344">
        <f t="shared" si="24"/>
        <v>0</v>
      </c>
      <c r="L200" s="343">
        <f t="shared" si="25"/>
        <v>0</v>
      </c>
      <c r="M200" s="336"/>
      <c r="N200" s="345">
        <f>Données!S200</f>
        <v>327838.2</v>
      </c>
      <c r="O200" s="345">
        <f>Données!T200</f>
        <v>68569.7</v>
      </c>
      <c r="P200" s="345">
        <f>Données!U200</f>
        <v>237601.4</v>
      </c>
      <c r="Q200" s="318">
        <f>Données!V200</f>
        <v>263913.75</v>
      </c>
      <c r="R200" s="302">
        <f t="shared" ref="R200:R263" si="29">SUMPRODUCT($N$6:$Q$6,N200:Q200)</f>
        <v>396178.77500000002</v>
      </c>
      <c r="S200" s="322">
        <f t="shared" ref="S200:S263" si="30">-($R$308-$S$6)/$C$308*C200</f>
        <v>-608121.40228253813</v>
      </c>
      <c r="T200" s="323">
        <f t="shared" si="26"/>
        <v>-211942.6272825381</v>
      </c>
    </row>
    <row r="201" spans="1:20" x14ac:dyDescent="0.25">
      <c r="A201" s="148">
        <f>Données!A201</f>
        <v>5728</v>
      </c>
      <c r="B201" s="160" t="str">
        <f>Données!B201</f>
        <v>Signy-Avenex</v>
      </c>
      <c r="C201" s="321">
        <f>Données!C201</f>
        <v>605</v>
      </c>
      <c r="D201" s="318">
        <f>RFS!W201</f>
        <v>2930900.9327818472</v>
      </c>
      <c r="E201" s="336"/>
      <c r="F201" s="342">
        <f t="shared" si="27"/>
        <v>4844.4643517055329</v>
      </c>
      <c r="G201" s="336">
        <f t="shared" ref="G201:G264" si="31">F201-$F$308</f>
        <v>1504.0496892826905</v>
      </c>
      <c r="H201" s="343">
        <f t="shared" si="28"/>
        <v>727960.04961282224</v>
      </c>
      <c r="I201" s="313"/>
      <c r="J201" s="344">
        <f t="shared" ref="J201:J264" si="32">F201-H201/C201</f>
        <v>3641.2246002793804</v>
      </c>
      <c r="K201" s="344">
        <f t="shared" ref="K201:K264" si="33">IF(J201&lt;$K$6,J201-($K$6),0)</f>
        <v>0</v>
      </c>
      <c r="L201" s="343">
        <f t="shared" ref="L201:L264" si="34">ROUND(K201*C201,0)</f>
        <v>0</v>
      </c>
      <c r="M201" s="336"/>
      <c r="N201" s="345">
        <f>Données!S201</f>
        <v>28798</v>
      </c>
      <c r="O201" s="345">
        <f>Données!T201</f>
        <v>47580.1</v>
      </c>
      <c r="P201" s="345">
        <f>Données!U201</f>
        <v>64356.1</v>
      </c>
      <c r="Q201" s="318">
        <f>Données!V201</f>
        <v>212373.3</v>
      </c>
      <c r="R201" s="302">
        <f t="shared" si="29"/>
        <v>134079.09</v>
      </c>
      <c r="S201" s="322">
        <f t="shared" si="30"/>
        <v>-122149.2192499786</v>
      </c>
      <c r="T201" s="323">
        <f t="shared" ref="T201:T264" si="35">R201+S201</f>
        <v>11929.870750021393</v>
      </c>
    </row>
    <row r="202" spans="1:20" x14ac:dyDescent="0.25">
      <c r="A202" s="148">
        <f>Données!A202</f>
        <v>5729</v>
      </c>
      <c r="B202" s="160" t="str">
        <f>Données!B202</f>
        <v>Tannay</v>
      </c>
      <c r="C202" s="321">
        <f>Données!C202</f>
        <v>1728</v>
      </c>
      <c r="D202" s="318">
        <f>RFS!W202</f>
        <v>12725195.353732249</v>
      </c>
      <c r="E202" s="336"/>
      <c r="F202" s="342">
        <f t="shared" si="27"/>
        <v>7364.1176815580147</v>
      </c>
      <c r="G202" s="336">
        <f t="shared" si="31"/>
        <v>4023.7030191351723</v>
      </c>
      <c r="H202" s="343">
        <f t="shared" si="28"/>
        <v>5562367.0536524625</v>
      </c>
      <c r="I202" s="313"/>
      <c r="J202" s="344">
        <f t="shared" si="32"/>
        <v>4145.1552662498761</v>
      </c>
      <c r="K202" s="344">
        <f t="shared" si="33"/>
        <v>0</v>
      </c>
      <c r="L202" s="343">
        <f t="shared" si="34"/>
        <v>0</v>
      </c>
      <c r="M202" s="336"/>
      <c r="N202" s="345">
        <f>Données!S202</f>
        <v>325473.55</v>
      </c>
      <c r="O202" s="345">
        <f>Données!T202</f>
        <v>0</v>
      </c>
      <c r="P202" s="345">
        <f>Données!U202</f>
        <v>362223.95</v>
      </c>
      <c r="Q202" s="318">
        <f>Données!V202</f>
        <v>20232.05</v>
      </c>
      <c r="R202" s="302">
        <f t="shared" si="29"/>
        <v>349918.36499999999</v>
      </c>
      <c r="S202" s="322">
        <f t="shared" si="30"/>
        <v>-348882.39812225295</v>
      </c>
      <c r="T202" s="323">
        <f t="shared" si="35"/>
        <v>1035.9668777470361</v>
      </c>
    </row>
    <row r="203" spans="1:20" x14ac:dyDescent="0.25">
      <c r="A203" s="148">
        <f>Données!A203</f>
        <v>5730</v>
      </c>
      <c r="B203" s="160" t="str">
        <f>Données!B203</f>
        <v>Trélex</v>
      </c>
      <c r="C203" s="321">
        <f>Données!C203</f>
        <v>1428</v>
      </c>
      <c r="D203" s="318">
        <f>RFS!W203</f>
        <v>11405509.45076804</v>
      </c>
      <c r="E203" s="336"/>
      <c r="F203" s="342">
        <f t="shared" si="27"/>
        <v>7987.0514361120731</v>
      </c>
      <c r="G203" s="336">
        <f t="shared" si="31"/>
        <v>4646.6367736892307</v>
      </c>
      <c r="H203" s="343">
        <f t="shared" si="28"/>
        <v>5308317.8502625776</v>
      </c>
      <c r="I203" s="313"/>
      <c r="J203" s="344">
        <f t="shared" si="32"/>
        <v>4269.7420171606882</v>
      </c>
      <c r="K203" s="344">
        <f t="shared" si="33"/>
        <v>0</v>
      </c>
      <c r="L203" s="343">
        <f t="shared" si="34"/>
        <v>0</v>
      </c>
      <c r="M203" s="336"/>
      <c r="N203" s="345">
        <f>Données!S203</f>
        <v>225071.75</v>
      </c>
      <c r="O203" s="345">
        <f>Données!T203</f>
        <v>0</v>
      </c>
      <c r="P203" s="345">
        <f>Données!U203</f>
        <v>346760</v>
      </c>
      <c r="Q203" s="318">
        <f>Données!V203</f>
        <v>27007.3</v>
      </c>
      <c r="R203" s="302">
        <f t="shared" si="29"/>
        <v>294018.065</v>
      </c>
      <c r="S203" s="322">
        <f t="shared" si="30"/>
        <v>-288312.5373371396</v>
      </c>
      <c r="T203" s="323">
        <f t="shared" si="35"/>
        <v>5705.5276628604042</v>
      </c>
    </row>
    <row r="204" spans="1:20" x14ac:dyDescent="0.25">
      <c r="A204" s="148">
        <f>Données!A204</f>
        <v>5731</v>
      </c>
      <c r="B204" s="160" t="str">
        <f>Données!B204</f>
        <v>Le Vaud</v>
      </c>
      <c r="C204" s="321">
        <f>Données!C204</f>
        <v>1374</v>
      </c>
      <c r="D204" s="318">
        <f>RFS!W204</f>
        <v>5078075.0036578886</v>
      </c>
      <c r="E204" s="336"/>
      <c r="F204" s="342">
        <f t="shared" si="27"/>
        <v>3695.8333359955523</v>
      </c>
      <c r="G204" s="336">
        <f t="shared" si="31"/>
        <v>355.41867357270985</v>
      </c>
      <c r="H204" s="343">
        <f t="shared" si="28"/>
        <v>390676.2059911227</v>
      </c>
      <c r="I204" s="313"/>
      <c r="J204" s="344">
        <f t="shared" si="32"/>
        <v>3411.4983971373845</v>
      </c>
      <c r="K204" s="344">
        <f t="shared" si="33"/>
        <v>0</v>
      </c>
      <c r="L204" s="343">
        <f t="shared" si="34"/>
        <v>0</v>
      </c>
      <c r="M204" s="336"/>
      <c r="N204" s="345">
        <f>Données!S204</f>
        <v>103884</v>
      </c>
      <c r="O204" s="345">
        <f>Données!T204</f>
        <v>123143</v>
      </c>
      <c r="P204" s="345">
        <f>Données!U204</f>
        <v>196355.5</v>
      </c>
      <c r="Q204" s="318">
        <f>Données!V204</f>
        <v>33673.800000000003</v>
      </c>
      <c r="R204" s="302">
        <f t="shared" si="29"/>
        <v>221793.39</v>
      </c>
      <c r="S204" s="322">
        <f t="shared" si="30"/>
        <v>-277409.9623958192</v>
      </c>
      <c r="T204" s="323">
        <f t="shared" si="35"/>
        <v>-55616.572395819181</v>
      </c>
    </row>
    <row r="205" spans="1:20" x14ac:dyDescent="0.25">
      <c r="A205" s="148">
        <f>Données!A205</f>
        <v>5732</v>
      </c>
      <c r="B205" s="160" t="str">
        <f>Données!B205</f>
        <v>Vich</v>
      </c>
      <c r="C205" s="321">
        <f>Données!C205</f>
        <v>1179</v>
      </c>
      <c r="D205" s="318">
        <f>RFS!W205</f>
        <v>5626752.6233205423</v>
      </c>
      <c r="E205" s="336"/>
      <c r="F205" s="342">
        <f t="shared" si="27"/>
        <v>4772.4789001870586</v>
      </c>
      <c r="G205" s="336">
        <f t="shared" si="31"/>
        <v>1432.0642377642162</v>
      </c>
      <c r="H205" s="343">
        <f t="shared" si="28"/>
        <v>1350722.9890592087</v>
      </c>
      <c r="I205" s="313"/>
      <c r="J205" s="344">
        <f t="shared" si="32"/>
        <v>3626.8275099756856</v>
      </c>
      <c r="K205" s="344">
        <f t="shared" si="33"/>
        <v>0</v>
      </c>
      <c r="L205" s="343">
        <f t="shared" si="34"/>
        <v>0</v>
      </c>
      <c r="M205" s="336"/>
      <c r="N205" s="345">
        <f>Données!S205</f>
        <v>172865</v>
      </c>
      <c r="O205" s="345">
        <f>Données!T205</f>
        <v>241311.7</v>
      </c>
      <c r="P205" s="345">
        <f>Données!U205</f>
        <v>123400.35</v>
      </c>
      <c r="Q205" s="318">
        <f>Données!V205</f>
        <v>179411.1</v>
      </c>
      <c r="R205" s="302">
        <f t="shared" si="29"/>
        <v>322611.85500000004</v>
      </c>
      <c r="S205" s="322">
        <f t="shared" si="30"/>
        <v>-238039.5528854955</v>
      </c>
      <c r="T205" s="323">
        <f t="shared" si="35"/>
        <v>84572.302114504535</v>
      </c>
    </row>
    <row r="206" spans="1:20" x14ac:dyDescent="0.25">
      <c r="A206" s="148">
        <f>Données!A206</f>
        <v>5741</v>
      </c>
      <c r="B206" s="160" t="str">
        <f>Données!B206</f>
        <v>L'Abergement</v>
      </c>
      <c r="C206" s="321">
        <f>Données!C206</f>
        <v>270</v>
      </c>
      <c r="D206" s="318">
        <f>RFS!W206</f>
        <v>550899.69031468208</v>
      </c>
      <c r="E206" s="336"/>
      <c r="F206" s="342">
        <f t="shared" si="27"/>
        <v>2040.3692233877114</v>
      </c>
      <c r="G206" s="336">
        <f t="shared" si="31"/>
        <v>-1300.045439035131</v>
      </c>
      <c r="H206" s="343">
        <f t="shared" si="28"/>
        <v>-280809.8148315883</v>
      </c>
      <c r="I206" s="313"/>
      <c r="J206" s="344">
        <f t="shared" si="32"/>
        <v>3080.4055746158165</v>
      </c>
      <c r="K206" s="344">
        <f t="shared" si="33"/>
        <v>0</v>
      </c>
      <c r="L206" s="343">
        <f t="shared" si="34"/>
        <v>0</v>
      </c>
      <c r="M206" s="336"/>
      <c r="N206" s="345">
        <f>Données!S206</f>
        <v>14360.45</v>
      </c>
      <c r="O206" s="345">
        <f>Données!T206</f>
        <v>0</v>
      </c>
      <c r="P206" s="345">
        <f>Données!U206</f>
        <v>23241.35</v>
      </c>
      <c r="Q206" s="318">
        <f>Données!V206</f>
        <v>6563.75</v>
      </c>
      <c r="R206" s="302">
        <f t="shared" si="29"/>
        <v>20770.025000000001</v>
      </c>
      <c r="S206" s="322">
        <f t="shared" si="30"/>
        <v>-54512.874706602022</v>
      </c>
      <c r="T206" s="323">
        <f t="shared" si="35"/>
        <v>-33742.849706602021</v>
      </c>
    </row>
    <row r="207" spans="1:20" x14ac:dyDescent="0.25">
      <c r="A207" s="148">
        <f>Données!A207</f>
        <v>5742</v>
      </c>
      <c r="B207" s="160" t="str">
        <f>Données!B207</f>
        <v>Agiez</v>
      </c>
      <c r="C207" s="321">
        <f>Données!C207</f>
        <v>373</v>
      </c>
      <c r="D207" s="318">
        <f>RFS!W207</f>
        <v>655771.03763072263</v>
      </c>
      <c r="E207" s="336"/>
      <c r="F207" s="342">
        <f t="shared" si="27"/>
        <v>1758.0992965971116</v>
      </c>
      <c r="G207" s="336">
        <f t="shared" si="31"/>
        <v>-1582.3153658257309</v>
      </c>
      <c r="H207" s="343">
        <f t="shared" si="28"/>
        <v>-472162.90516239806</v>
      </c>
      <c r="I207" s="313"/>
      <c r="J207" s="344">
        <f t="shared" si="32"/>
        <v>3023.9515892576965</v>
      </c>
      <c r="K207" s="344">
        <f t="shared" si="33"/>
        <v>0</v>
      </c>
      <c r="L207" s="343">
        <f t="shared" si="34"/>
        <v>0</v>
      </c>
      <c r="M207" s="336"/>
      <c r="N207" s="345">
        <f>Données!S207</f>
        <v>32945</v>
      </c>
      <c r="O207" s="345">
        <f>Données!T207</f>
        <v>59.6</v>
      </c>
      <c r="P207" s="345">
        <f>Données!U207</f>
        <v>23494.05</v>
      </c>
      <c r="Q207" s="318">
        <f>Données!V207</f>
        <v>3271.45</v>
      </c>
      <c r="R207" s="302">
        <f t="shared" si="29"/>
        <v>29230.76</v>
      </c>
      <c r="S207" s="322">
        <f t="shared" si="30"/>
        <v>-75308.526909490945</v>
      </c>
      <c r="T207" s="323">
        <f t="shared" si="35"/>
        <v>-46077.766909490951</v>
      </c>
    </row>
    <row r="208" spans="1:20" x14ac:dyDescent="0.25">
      <c r="A208" s="148">
        <f>Données!A208</f>
        <v>5743</v>
      </c>
      <c r="B208" s="160" t="str">
        <f>Données!B208</f>
        <v>Arnex-sur-Orbe</v>
      </c>
      <c r="C208" s="321">
        <f>Données!C208</f>
        <v>697</v>
      </c>
      <c r="D208" s="318">
        <f>RFS!W208</f>
        <v>1329469.915677723</v>
      </c>
      <c r="E208" s="336"/>
      <c r="F208" s="342">
        <f t="shared" si="27"/>
        <v>1907.4173826079241</v>
      </c>
      <c r="G208" s="336">
        <f t="shared" si="31"/>
        <v>-1432.9972798149183</v>
      </c>
      <c r="H208" s="343">
        <f t="shared" si="28"/>
        <v>-799039.28322479839</v>
      </c>
      <c r="I208" s="313"/>
      <c r="J208" s="344">
        <f t="shared" si="32"/>
        <v>3053.8152064598589</v>
      </c>
      <c r="K208" s="344">
        <f t="shared" si="33"/>
        <v>0</v>
      </c>
      <c r="L208" s="343">
        <f t="shared" si="34"/>
        <v>0</v>
      </c>
      <c r="M208" s="336"/>
      <c r="N208" s="345">
        <f>Données!S208</f>
        <v>31257.95</v>
      </c>
      <c r="O208" s="345">
        <f>Données!T208</f>
        <v>310.60000000000002</v>
      </c>
      <c r="P208" s="345">
        <f>Données!U208</f>
        <v>24068.15</v>
      </c>
      <c r="Q208" s="318">
        <f>Données!V208</f>
        <v>35407.15</v>
      </c>
      <c r="R208" s="302">
        <f t="shared" si="29"/>
        <v>38440.494999999995</v>
      </c>
      <c r="S208" s="322">
        <f t="shared" si="30"/>
        <v>-140723.97655741338</v>
      </c>
      <c r="T208" s="323">
        <f t="shared" si="35"/>
        <v>-102283.48155741338</v>
      </c>
    </row>
    <row r="209" spans="1:20" x14ac:dyDescent="0.25">
      <c r="A209" s="148">
        <f>Données!A209</f>
        <v>5744</v>
      </c>
      <c r="B209" s="160" t="str">
        <f>Données!B209</f>
        <v>Ballaigues</v>
      </c>
      <c r="C209" s="321">
        <f>Données!C209</f>
        <v>1209</v>
      </c>
      <c r="D209" s="318">
        <f>RFS!W209</f>
        <v>3970616.5915173702</v>
      </c>
      <c r="E209" s="336"/>
      <c r="F209" s="342">
        <f t="shared" si="27"/>
        <v>3284.21554302512</v>
      </c>
      <c r="G209" s="336">
        <f t="shared" si="31"/>
        <v>-56.19911939772237</v>
      </c>
      <c r="H209" s="343">
        <f t="shared" si="28"/>
        <v>-54355.788281477078</v>
      </c>
      <c r="I209" s="313"/>
      <c r="J209" s="344">
        <f t="shared" si="32"/>
        <v>3329.1748385432979</v>
      </c>
      <c r="K209" s="344">
        <f t="shared" si="33"/>
        <v>0</v>
      </c>
      <c r="L209" s="343">
        <f t="shared" si="34"/>
        <v>0</v>
      </c>
      <c r="M209" s="336"/>
      <c r="N209" s="345">
        <f>Données!S209</f>
        <v>76830.600000000006</v>
      </c>
      <c r="O209" s="345">
        <f>Données!T209</f>
        <v>16177.2</v>
      </c>
      <c r="P209" s="345">
        <f>Données!U209</f>
        <v>69474.649999999994</v>
      </c>
      <c r="Q209" s="318">
        <f>Données!V209</f>
        <v>1417599.85</v>
      </c>
      <c r="R209" s="302">
        <f t="shared" si="29"/>
        <v>506521.18000000005</v>
      </c>
      <c r="S209" s="322">
        <f t="shared" si="30"/>
        <v>-244096.53896400685</v>
      </c>
      <c r="T209" s="323">
        <f t="shared" si="35"/>
        <v>262424.64103599323</v>
      </c>
    </row>
    <row r="210" spans="1:20" x14ac:dyDescent="0.25">
      <c r="A210" s="148">
        <f>Données!A210</f>
        <v>5745</v>
      </c>
      <c r="B210" s="160" t="str">
        <f>Données!B210</f>
        <v>Baulmes</v>
      </c>
      <c r="C210" s="321">
        <f>Données!C210</f>
        <v>1168</v>
      </c>
      <c r="D210" s="318">
        <f>RFS!W210</f>
        <v>2015158.9462061105</v>
      </c>
      <c r="E210" s="336"/>
      <c r="F210" s="342">
        <f t="shared" si="27"/>
        <v>1725.3073169572865</v>
      </c>
      <c r="G210" s="336">
        <f t="shared" si="31"/>
        <v>-1615.1073454655559</v>
      </c>
      <c r="H210" s="343">
        <f t="shared" si="28"/>
        <v>-1509156.3036030156</v>
      </c>
      <c r="I210" s="313"/>
      <c r="J210" s="344">
        <f t="shared" si="32"/>
        <v>3017.3931933297313</v>
      </c>
      <c r="K210" s="344">
        <f t="shared" si="33"/>
        <v>0</v>
      </c>
      <c r="L210" s="343">
        <f t="shared" si="34"/>
        <v>0</v>
      </c>
      <c r="M210" s="336"/>
      <c r="N210" s="345">
        <f>Données!S210</f>
        <v>19525</v>
      </c>
      <c r="O210" s="345">
        <f>Données!T210</f>
        <v>0</v>
      </c>
      <c r="P210" s="345">
        <f>Données!U210</f>
        <v>13311.5</v>
      </c>
      <c r="Q210" s="318">
        <f>Données!V210</f>
        <v>208052.6</v>
      </c>
      <c r="R210" s="302">
        <f t="shared" si="29"/>
        <v>78834.03</v>
      </c>
      <c r="S210" s="322">
        <f t="shared" si="30"/>
        <v>-235818.65799004136</v>
      </c>
      <c r="T210" s="323">
        <f t="shared" si="35"/>
        <v>-156984.62799004136</v>
      </c>
    </row>
    <row r="211" spans="1:20" x14ac:dyDescent="0.25">
      <c r="A211" s="148">
        <f>Données!A211</f>
        <v>5746</v>
      </c>
      <c r="B211" s="160" t="str">
        <f>Données!B211</f>
        <v>Bavois</v>
      </c>
      <c r="C211" s="321">
        <f>Données!C211</f>
        <v>1041</v>
      </c>
      <c r="D211" s="318">
        <f>RFS!W211</f>
        <v>2521845.5339801041</v>
      </c>
      <c r="E211" s="336"/>
      <c r="F211" s="342">
        <f t="shared" si="27"/>
        <v>2422.5221267820407</v>
      </c>
      <c r="G211" s="336">
        <f t="shared" si="31"/>
        <v>-917.89253564080173</v>
      </c>
      <c r="H211" s="343">
        <f t="shared" si="28"/>
        <v>-764420.90368165972</v>
      </c>
      <c r="I211" s="313"/>
      <c r="J211" s="344">
        <f t="shared" si="32"/>
        <v>3156.8361552946822</v>
      </c>
      <c r="K211" s="344">
        <f t="shared" si="33"/>
        <v>0</v>
      </c>
      <c r="L211" s="343">
        <f t="shared" si="34"/>
        <v>0</v>
      </c>
      <c r="M211" s="336"/>
      <c r="N211" s="345">
        <f>Données!S211</f>
        <v>156258.20000000001</v>
      </c>
      <c r="O211" s="345">
        <f>Données!T211</f>
        <v>1202.2</v>
      </c>
      <c r="P211" s="345">
        <f>Données!U211</f>
        <v>42615.15</v>
      </c>
      <c r="Q211" s="318">
        <f>Données!V211</f>
        <v>9548.9500000000007</v>
      </c>
      <c r="R211" s="302">
        <f t="shared" si="29"/>
        <v>102902.46</v>
      </c>
      <c r="S211" s="322">
        <f t="shared" si="30"/>
        <v>-210177.41692434336</v>
      </c>
      <c r="T211" s="323">
        <f t="shared" si="35"/>
        <v>-107274.95692434335</v>
      </c>
    </row>
    <row r="212" spans="1:20" x14ac:dyDescent="0.25">
      <c r="A212" s="148">
        <f>Données!A212</f>
        <v>5747</v>
      </c>
      <c r="B212" s="160" t="str">
        <f>Données!B212</f>
        <v>Bofflens</v>
      </c>
      <c r="C212" s="321">
        <f>Données!C212</f>
        <v>200</v>
      </c>
      <c r="D212" s="318">
        <f>RFS!W212</f>
        <v>507803.2150618392</v>
      </c>
      <c r="E212" s="336"/>
      <c r="F212" s="342">
        <f t="shared" si="27"/>
        <v>2539.0160753091959</v>
      </c>
      <c r="G212" s="336">
        <f t="shared" si="31"/>
        <v>-801.3985871136465</v>
      </c>
      <c r="H212" s="343">
        <f t="shared" si="28"/>
        <v>-128223.77393818344</v>
      </c>
      <c r="I212" s="313"/>
      <c r="J212" s="344">
        <f t="shared" si="32"/>
        <v>3180.134945000113</v>
      </c>
      <c r="K212" s="344">
        <f t="shared" si="33"/>
        <v>0</v>
      </c>
      <c r="L212" s="343">
        <f t="shared" si="34"/>
        <v>0</v>
      </c>
      <c r="M212" s="336"/>
      <c r="N212" s="345">
        <f>Données!S212</f>
        <v>11040.75</v>
      </c>
      <c r="O212" s="345">
        <f>Données!T212</f>
        <v>3119.1</v>
      </c>
      <c r="P212" s="345">
        <f>Données!U212</f>
        <v>19831.25</v>
      </c>
      <c r="Q212" s="318">
        <f>Données!V212</f>
        <v>369.35</v>
      </c>
      <c r="R212" s="302">
        <f t="shared" si="29"/>
        <v>17106.355</v>
      </c>
      <c r="S212" s="322">
        <f t="shared" si="30"/>
        <v>-40379.907190075573</v>
      </c>
      <c r="T212" s="323">
        <f t="shared" si="35"/>
        <v>-23273.552190075574</v>
      </c>
    </row>
    <row r="213" spans="1:20" x14ac:dyDescent="0.25">
      <c r="A213" s="148">
        <f>Données!A213</f>
        <v>5748</v>
      </c>
      <c r="B213" s="160" t="str">
        <f>Données!B213</f>
        <v>Bretonnières</v>
      </c>
      <c r="C213" s="321">
        <f>Données!C213</f>
        <v>261</v>
      </c>
      <c r="D213" s="318">
        <f>RFS!W213</f>
        <v>464401.19725490501</v>
      </c>
      <c r="E213" s="336"/>
      <c r="F213" s="342">
        <f t="shared" si="27"/>
        <v>1779.3149320111304</v>
      </c>
      <c r="G213" s="336">
        <f t="shared" si="31"/>
        <v>-1561.099730411712</v>
      </c>
      <c r="H213" s="343">
        <f t="shared" si="28"/>
        <v>-325957.6237099655</v>
      </c>
      <c r="I213" s="313"/>
      <c r="J213" s="344">
        <f t="shared" si="32"/>
        <v>3028.1947163405002</v>
      </c>
      <c r="K213" s="344">
        <f t="shared" si="33"/>
        <v>0</v>
      </c>
      <c r="L213" s="343">
        <f t="shared" si="34"/>
        <v>0</v>
      </c>
      <c r="M213" s="336"/>
      <c r="N213" s="345">
        <f>Données!S213</f>
        <v>21450</v>
      </c>
      <c r="O213" s="345">
        <f>Données!T213</f>
        <v>0</v>
      </c>
      <c r="P213" s="345">
        <f>Données!U213</f>
        <v>15283</v>
      </c>
      <c r="Q213" s="318">
        <f>Données!V213</f>
        <v>14329.75</v>
      </c>
      <c r="R213" s="302">
        <f t="shared" si="29"/>
        <v>22665.424999999999</v>
      </c>
      <c r="S213" s="322">
        <f t="shared" si="30"/>
        <v>-52695.778883048624</v>
      </c>
      <c r="T213" s="323">
        <f t="shared" si="35"/>
        <v>-30030.353883048625</v>
      </c>
    </row>
    <row r="214" spans="1:20" x14ac:dyDescent="0.25">
      <c r="A214" s="148">
        <f>Données!A214</f>
        <v>5749</v>
      </c>
      <c r="B214" s="160" t="str">
        <f>Données!B214</f>
        <v>Chavornay</v>
      </c>
      <c r="C214" s="321">
        <f>Données!C214</f>
        <v>5442</v>
      </c>
      <c r="D214" s="318">
        <f>RFS!W214</f>
        <v>10578390.432657279</v>
      </c>
      <c r="E214" s="336"/>
      <c r="F214" s="342">
        <f t="shared" si="27"/>
        <v>1943.8424168793235</v>
      </c>
      <c r="G214" s="336">
        <f t="shared" si="31"/>
        <v>-1396.5722455435189</v>
      </c>
      <c r="H214" s="343">
        <f t="shared" si="28"/>
        <v>-6080116.928198264</v>
      </c>
      <c r="I214" s="313"/>
      <c r="J214" s="344">
        <f t="shared" si="32"/>
        <v>3061.1002133141387</v>
      </c>
      <c r="K214" s="344">
        <f t="shared" si="33"/>
        <v>0</v>
      </c>
      <c r="L214" s="343">
        <f t="shared" si="34"/>
        <v>0</v>
      </c>
      <c r="M214" s="336"/>
      <c r="N214" s="345">
        <f>Données!S214</f>
        <v>340511.05</v>
      </c>
      <c r="O214" s="345">
        <f>Données!T214</f>
        <v>379.3</v>
      </c>
      <c r="P214" s="345">
        <f>Données!U214</f>
        <v>281206</v>
      </c>
      <c r="Q214" s="318">
        <f>Données!V214</f>
        <v>728559.75</v>
      </c>
      <c r="R214" s="302">
        <f t="shared" si="29"/>
        <v>529616.1</v>
      </c>
      <c r="S214" s="322">
        <f t="shared" si="30"/>
        <v>-1098737.2746419564</v>
      </c>
      <c r="T214" s="323">
        <f t="shared" si="35"/>
        <v>-569121.17464195646</v>
      </c>
    </row>
    <row r="215" spans="1:20" x14ac:dyDescent="0.25">
      <c r="A215" s="148">
        <f>Données!A215</f>
        <v>5750</v>
      </c>
      <c r="B215" s="160" t="str">
        <f>Données!B215</f>
        <v>Les Clées</v>
      </c>
      <c r="C215" s="321">
        <f>Données!C215</f>
        <v>194</v>
      </c>
      <c r="D215" s="318">
        <f>RFS!W215</f>
        <v>418048.41474156512</v>
      </c>
      <c r="E215" s="336"/>
      <c r="F215" s="342">
        <f t="shared" si="27"/>
        <v>2154.8887357812637</v>
      </c>
      <c r="G215" s="336">
        <f t="shared" si="31"/>
        <v>-1185.5259266415787</v>
      </c>
      <c r="H215" s="343">
        <f t="shared" si="28"/>
        <v>-183993.62381477305</v>
      </c>
      <c r="I215" s="313"/>
      <c r="J215" s="344">
        <f t="shared" si="32"/>
        <v>3103.3094770945268</v>
      </c>
      <c r="K215" s="344">
        <f t="shared" si="33"/>
        <v>0</v>
      </c>
      <c r="L215" s="343">
        <f t="shared" si="34"/>
        <v>0</v>
      </c>
      <c r="M215" s="336"/>
      <c r="N215" s="345">
        <f>Données!S215</f>
        <v>23037.05</v>
      </c>
      <c r="O215" s="345">
        <f>Données!T215</f>
        <v>0</v>
      </c>
      <c r="P215" s="345">
        <f>Données!U215</f>
        <v>41629.550000000003</v>
      </c>
      <c r="Q215" s="318">
        <f>Données!V215</f>
        <v>7423.95</v>
      </c>
      <c r="R215" s="302">
        <f t="shared" si="29"/>
        <v>34560.485000000001</v>
      </c>
      <c r="S215" s="322">
        <f t="shared" si="30"/>
        <v>-39168.509974373308</v>
      </c>
      <c r="T215" s="323">
        <f t="shared" si="35"/>
        <v>-4608.0249743733075</v>
      </c>
    </row>
    <row r="216" spans="1:20" x14ac:dyDescent="0.25">
      <c r="A216" s="148">
        <f>Données!A216</f>
        <v>5752</v>
      </c>
      <c r="B216" s="160" t="str">
        <f>Données!B216</f>
        <v>Croy</v>
      </c>
      <c r="C216" s="321">
        <f>Données!C216</f>
        <v>403</v>
      </c>
      <c r="D216" s="318">
        <f>RFS!W216</f>
        <v>719530.58364503505</v>
      </c>
      <c r="E216" s="336"/>
      <c r="F216" s="342">
        <f t="shared" si="27"/>
        <v>1785.435691426886</v>
      </c>
      <c r="G216" s="336">
        <f t="shared" si="31"/>
        <v>-1554.9789709959564</v>
      </c>
      <c r="H216" s="343">
        <f t="shared" si="28"/>
        <v>-501325.2202490964</v>
      </c>
      <c r="I216" s="313"/>
      <c r="J216" s="344">
        <f t="shared" si="32"/>
        <v>3029.4188682236513</v>
      </c>
      <c r="K216" s="344">
        <f t="shared" si="33"/>
        <v>0</v>
      </c>
      <c r="L216" s="343">
        <f t="shared" si="34"/>
        <v>0</v>
      </c>
      <c r="M216" s="336"/>
      <c r="N216" s="345">
        <f>Données!S216</f>
        <v>25025</v>
      </c>
      <c r="O216" s="345">
        <f>Données!T216</f>
        <v>24742</v>
      </c>
      <c r="P216" s="345">
        <f>Données!U216</f>
        <v>24609.3</v>
      </c>
      <c r="Q216" s="318">
        <f>Données!V216</f>
        <v>45637.45</v>
      </c>
      <c r="R216" s="302">
        <f t="shared" si="29"/>
        <v>50879.385000000002</v>
      </c>
      <c r="S216" s="322">
        <f t="shared" si="30"/>
        <v>-81365.512988002287</v>
      </c>
      <c r="T216" s="323">
        <f t="shared" si="35"/>
        <v>-30486.127988002285</v>
      </c>
    </row>
    <row r="217" spans="1:20" x14ac:dyDescent="0.25">
      <c r="A217" s="148">
        <f>Données!A217</f>
        <v>5754</v>
      </c>
      <c r="B217" s="160" t="str">
        <f>Données!B217</f>
        <v>Juriens</v>
      </c>
      <c r="C217" s="321">
        <f>Données!C217</f>
        <v>348</v>
      </c>
      <c r="D217" s="318">
        <f>RFS!W217</f>
        <v>612899.48996010888</v>
      </c>
      <c r="E217" s="336"/>
      <c r="F217" s="342">
        <f t="shared" si="27"/>
        <v>1761.2054309198531</v>
      </c>
      <c r="G217" s="336">
        <f t="shared" si="31"/>
        <v>-1579.2092315029893</v>
      </c>
      <c r="H217" s="343">
        <f t="shared" si="28"/>
        <v>-439651.8500504322</v>
      </c>
      <c r="I217" s="313"/>
      <c r="J217" s="344">
        <f t="shared" si="32"/>
        <v>3024.5728161222446</v>
      </c>
      <c r="K217" s="344">
        <f t="shared" si="33"/>
        <v>0</v>
      </c>
      <c r="L217" s="343">
        <f t="shared" si="34"/>
        <v>0</v>
      </c>
      <c r="M217" s="336"/>
      <c r="N217" s="345">
        <f>Données!S217</f>
        <v>14099</v>
      </c>
      <c r="O217" s="345">
        <f>Données!T217</f>
        <v>0</v>
      </c>
      <c r="P217" s="345">
        <f>Données!U217</f>
        <v>18081.849999999999</v>
      </c>
      <c r="Q217" s="318">
        <f>Données!V217</f>
        <v>21413.200000000001</v>
      </c>
      <c r="R217" s="302">
        <f t="shared" si="29"/>
        <v>22514.384999999998</v>
      </c>
      <c r="S217" s="322">
        <f t="shared" si="30"/>
        <v>-70261.038510731494</v>
      </c>
      <c r="T217" s="323">
        <f t="shared" si="35"/>
        <v>-47746.653510731499</v>
      </c>
    </row>
    <row r="218" spans="1:20" x14ac:dyDescent="0.25">
      <c r="A218" s="148">
        <f>Données!A218</f>
        <v>5755</v>
      </c>
      <c r="B218" s="160" t="str">
        <f>Données!B218</f>
        <v>Lignerolle</v>
      </c>
      <c r="C218" s="321">
        <f>Données!C218</f>
        <v>463</v>
      </c>
      <c r="D218" s="318">
        <f>RFS!W218</f>
        <v>712600.0880493786</v>
      </c>
      <c r="E218" s="336"/>
      <c r="F218" s="342">
        <f t="shared" si="27"/>
        <v>1539.0930627416385</v>
      </c>
      <c r="G218" s="336">
        <f t="shared" si="31"/>
        <v>-1801.3215996812039</v>
      </c>
      <c r="H218" s="343">
        <f t="shared" si="28"/>
        <v>-667209.52052191796</v>
      </c>
      <c r="I218" s="313"/>
      <c r="J218" s="344">
        <f t="shared" si="32"/>
        <v>2980.1503424866014</v>
      </c>
      <c r="K218" s="344">
        <f t="shared" si="33"/>
        <v>-26.22285369395513</v>
      </c>
      <c r="L218" s="343">
        <f t="shared" si="34"/>
        <v>-12141</v>
      </c>
      <c r="M218" s="336"/>
      <c r="N218" s="345">
        <f>Données!S218</f>
        <v>45872.9</v>
      </c>
      <c r="O218" s="345">
        <f>Données!T218</f>
        <v>0</v>
      </c>
      <c r="P218" s="345">
        <f>Données!U218</f>
        <v>34280.1</v>
      </c>
      <c r="Q218" s="318">
        <f>Données!V218</f>
        <v>26084.75</v>
      </c>
      <c r="R218" s="302">
        <f t="shared" si="29"/>
        <v>47901.925000000003</v>
      </c>
      <c r="S218" s="322">
        <f t="shared" si="30"/>
        <v>-93479.485145024955</v>
      </c>
      <c r="T218" s="323">
        <f t="shared" si="35"/>
        <v>-45577.560145024952</v>
      </c>
    </row>
    <row r="219" spans="1:20" x14ac:dyDescent="0.25">
      <c r="A219" s="148">
        <f>Données!A219</f>
        <v>5756</v>
      </c>
      <c r="B219" s="160" t="str">
        <f>Données!B219</f>
        <v>Montcherand</v>
      </c>
      <c r="C219" s="321">
        <f>Données!C219</f>
        <v>489</v>
      </c>
      <c r="D219" s="318">
        <f>RFS!W219</f>
        <v>1271882.7298108509</v>
      </c>
      <c r="E219" s="336"/>
      <c r="F219" s="342">
        <f t="shared" si="27"/>
        <v>2600.9871775273027</v>
      </c>
      <c r="G219" s="336">
        <f t="shared" si="31"/>
        <v>-739.42748489553969</v>
      </c>
      <c r="H219" s="343">
        <f t="shared" si="28"/>
        <v>-289264.03209113516</v>
      </c>
      <c r="I219" s="313"/>
      <c r="J219" s="344">
        <f t="shared" si="32"/>
        <v>3192.5291654437347</v>
      </c>
      <c r="K219" s="344">
        <f t="shared" si="33"/>
        <v>0</v>
      </c>
      <c r="L219" s="343">
        <f t="shared" si="34"/>
        <v>0</v>
      </c>
      <c r="M219" s="336"/>
      <c r="N219" s="345">
        <f>Données!S219</f>
        <v>1263.0999999999999</v>
      </c>
      <c r="O219" s="345">
        <f>Données!T219</f>
        <v>8890</v>
      </c>
      <c r="P219" s="345">
        <f>Données!U219</f>
        <v>0</v>
      </c>
      <c r="Q219" s="318">
        <f>Données!V219</f>
        <v>4644.8</v>
      </c>
      <c r="R219" s="302">
        <f t="shared" si="29"/>
        <v>6469.99</v>
      </c>
      <c r="S219" s="322">
        <f t="shared" si="30"/>
        <v>-98728.873079734782</v>
      </c>
      <c r="T219" s="323">
        <f t="shared" si="35"/>
        <v>-92258.883079734776</v>
      </c>
    </row>
    <row r="220" spans="1:20" x14ac:dyDescent="0.25">
      <c r="A220" s="148">
        <f>Données!A220</f>
        <v>5757</v>
      </c>
      <c r="B220" s="160" t="str">
        <f>Données!B220</f>
        <v>Orbe</v>
      </c>
      <c r="C220" s="321">
        <f>Données!C220</f>
        <v>7962</v>
      </c>
      <c r="D220" s="318">
        <f>RFS!W220</f>
        <v>16220624.514957011</v>
      </c>
      <c r="E220" s="336"/>
      <c r="F220" s="342">
        <f t="shared" si="27"/>
        <v>2037.2550257419005</v>
      </c>
      <c r="G220" s="336">
        <f t="shared" si="31"/>
        <v>-1303.159636680942</v>
      </c>
      <c r="H220" s="343">
        <f t="shared" si="28"/>
        <v>-8300605.6218029289</v>
      </c>
      <c r="I220" s="313"/>
      <c r="J220" s="344">
        <f t="shared" si="32"/>
        <v>3079.7827350866542</v>
      </c>
      <c r="K220" s="344">
        <f t="shared" si="33"/>
        <v>0</v>
      </c>
      <c r="L220" s="343">
        <f t="shared" si="34"/>
        <v>0</v>
      </c>
      <c r="M220" s="336"/>
      <c r="N220" s="345">
        <f>Données!S220</f>
        <v>533059.75</v>
      </c>
      <c r="O220" s="345">
        <f>Données!T220</f>
        <v>293026.59999999998</v>
      </c>
      <c r="P220" s="345">
        <f>Données!U220</f>
        <v>326938.7</v>
      </c>
      <c r="Q220" s="318">
        <f>Données!V220</f>
        <v>4025622.65</v>
      </c>
      <c r="R220" s="302">
        <f t="shared" si="29"/>
        <v>1784199.3199999998</v>
      </c>
      <c r="S220" s="322">
        <f t="shared" si="30"/>
        <v>-1607524.1052369087</v>
      </c>
      <c r="T220" s="323">
        <f t="shared" si="35"/>
        <v>176675.21476309118</v>
      </c>
    </row>
    <row r="221" spans="1:20" x14ac:dyDescent="0.25">
      <c r="A221" s="148">
        <f>Données!A221</f>
        <v>5758</v>
      </c>
      <c r="B221" s="160" t="str">
        <f>Données!B221</f>
        <v>La Praz</v>
      </c>
      <c r="C221" s="321">
        <f>Données!C221</f>
        <v>207</v>
      </c>
      <c r="D221" s="318">
        <f>RFS!W221</f>
        <v>410760.0415743952</v>
      </c>
      <c r="E221" s="336"/>
      <c r="F221" s="342">
        <f t="shared" si="27"/>
        <v>1984.3480269294455</v>
      </c>
      <c r="G221" s="336">
        <f t="shared" si="31"/>
        <v>-1356.0666354933969</v>
      </c>
      <c r="H221" s="343">
        <f t="shared" si="28"/>
        <v>-224564.63483770652</v>
      </c>
      <c r="I221" s="313"/>
      <c r="J221" s="344">
        <f t="shared" si="32"/>
        <v>3069.2013353241628</v>
      </c>
      <c r="K221" s="344">
        <f t="shared" si="33"/>
        <v>0</v>
      </c>
      <c r="L221" s="343">
        <f t="shared" si="34"/>
        <v>0</v>
      </c>
      <c r="M221" s="336"/>
      <c r="N221" s="345">
        <f>Données!S221</f>
        <v>12826</v>
      </c>
      <c r="O221" s="345">
        <f>Données!T221</f>
        <v>25617.9</v>
      </c>
      <c r="P221" s="345">
        <f>Données!U221</f>
        <v>494.15</v>
      </c>
      <c r="Q221" s="318">
        <f>Données!V221</f>
        <v>445.8</v>
      </c>
      <c r="R221" s="302">
        <f t="shared" si="29"/>
        <v>19602.765000000003</v>
      </c>
      <c r="S221" s="322">
        <f t="shared" si="30"/>
        <v>-41793.203941728221</v>
      </c>
      <c r="T221" s="323">
        <f t="shared" si="35"/>
        <v>-22190.438941728218</v>
      </c>
    </row>
    <row r="222" spans="1:20" x14ac:dyDescent="0.25">
      <c r="A222" s="148">
        <f>Données!A222</f>
        <v>5759</v>
      </c>
      <c r="B222" s="160" t="str">
        <f>Données!B222</f>
        <v>Premier</v>
      </c>
      <c r="C222" s="321">
        <f>Données!C222</f>
        <v>228</v>
      </c>
      <c r="D222" s="318">
        <f>RFS!W222</f>
        <v>354850.83924260561</v>
      </c>
      <c r="E222" s="336"/>
      <c r="F222" s="342">
        <f t="shared" si="27"/>
        <v>1556.3633300114282</v>
      </c>
      <c r="G222" s="336">
        <f t="shared" si="31"/>
        <v>-1784.0513324114143</v>
      </c>
      <c r="H222" s="343">
        <f t="shared" si="28"/>
        <v>-325410.96303184197</v>
      </c>
      <c r="I222" s="313"/>
      <c r="J222" s="344">
        <f t="shared" si="32"/>
        <v>2983.6043959405597</v>
      </c>
      <c r="K222" s="344">
        <f t="shared" si="33"/>
        <v>-22.768800239996835</v>
      </c>
      <c r="L222" s="343">
        <f t="shared" si="34"/>
        <v>-5191</v>
      </c>
      <c r="M222" s="336"/>
      <c r="N222" s="345">
        <f>Données!S222</f>
        <v>11825</v>
      </c>
      <c r="O222" s="345">
        <f>Données!T222</f>
        <v>0</v>
      </c>
      <c r="P222" s="345">
        <f>Données!U222</f>
        <v>10974.4</v>
      </c>
      <c r="Q222" s="318">
        <f>Données!V222</f>
        <v>2808.4</v>
      </c>
      <c r="R222" s="302">
        <f t="shared" si="29"/>
        <v>12242.220000000001</v>
      </c>
      <c r="S222" s="322">
        <f t="shared" si="30"/>
        <v>-46033.094196686157</v>
      </c>
      <c r="T222" s="323">
        <f t="shared" si="35"/>
        <v>-33790.874196686156</v>
      </c>
    </row>
    <row r="223" spans="1:20" x14ac:dyDescent="0.25">
      <c r="A223" s="148">
        <f>Données!A223</f>
        <v>5760</v>
      </c>
      <c r="B223" s="160" t="str">
        <f>Données!B223</f>
        <v>Rances</v>
      </c>
      <c r="C223" s="321">
        <f>Données!C223</f>
        <v>508</v>
      </c>
      <c r="D223" s="318">
        <f>RFS!W223</f>
        <v>946039.38891851867</v>
      </c>
      <c r="E223" s="336"/>
      <c r="F223" s="342">
        <f t="shared" si="27"/>
        <v>1862.2822616506273</v>
      </c>
      <c r="G223" s="336">
        <f t="shared" si="31"/>
        <v>-1478.1324007722151</v>
      </c>
      <c r="H223" s="343">
        <f t="shared" si="28"/>
        <v>-600713.00767382816</v>
      </c>
      <c r="I223" s="313"/>
      <c r="J223" s="344">
        <f t="shared" si="32"/>
        <v>3044.7881822683994</v>
      </c>
      <c r="K223" s="344">
        <f t="shared" si="33"/>
        <v>0</v>
      </c>
      <c r="L223" s="343">
        <f t="shared" si="34"/>
        <v>0</v>
      </c>
      <c r="M223" s="336"/>
      <c r="N223" s="345">
        <f>Données!S223</f>
        <v>40561.449999999997</v>
      </c>
      <c r="O223" s="345">
        <f>Données!T223</f>
        <v>5060</v>
      </c>
      <c r="P223" s="345">
        <f>Données!U223</f>
        <v>40946.550000000003</v>
      </c>
      <c r="Q223" s="318">
        <f>Données!V223</f>
        <v>18598.55</v>
      </c>
      <c r="R223" s="302">
        <f t="shared" si="29"/>
        <v>48863.565000000002</v>
      </c>
      <c r="S223" s="322">
        <f t="shared" si="30"/>
        <v>-102564.96426279195</v>
      </c>
      <c r="T223" s="323">
        <f t="shared" si="35"/>
        <v>-53701.399262791951</v>
      </c>
    </row>
    <row r="224" spans="1:20" x14ac:dyDescent="0.25">
      <c r="A224" s="148">
        <f>Données!A224</f>
        <v>5761</v>
      </c>
      <c r="B224" s="160" t="str">
        <f>Données!B224</f>
        <v>Romainmôtier-Envy</v>
      </c>
      <c r="C224" s="321">
        <f>Données!C224</f>
        <v>560</v>
      </c>
      <c r="D224" s="318">
        <f>RFS!W224</f>
        <v>971755.65868888772</v>
      </c>
      <c r="E224" s="336"/>
      <c r="F224" s="342">
        <f t="shared" si="27"/>
        <v>1735.2779619444423</v>
      </c>
      <c r="G224" s="336">
        <f t="shared" si="31"/>
        <v>-1605.1367004784001</v>
      </c>
      <c r="H224" s="343">
        <f t="shared" si="28"/>
        <v>-719101.24181432335</v>
      </c>
      <c r="I224" s="313"/>
      <c r="J224" s="344">
        <f t="shared" si="32"/>
        <v>3019.3873223271626</v>
      </c>
      <c r="K224" s="344">
        <f t="shared" si="33"/>
        <v>0</v>
      </c>
      <c r="L224" s="343">
        <f t="shared" si="34"/>
        <v>0</v>
      </c>
      <c r="M224" s="336"/>
      <c r="N224" s="345">
        <f>Données!S224</f>
        <v>10573.8</v>
      </c>
      <c r="O224" s="345">
        <f>Données!T224</f>
        <v>3745.8</v>
      </c>
      <c r="P224" s="345">
        <f>Données!U224</f>
        <v>19116.7</v>
      </c>
      <c r="Q224" s="318">
        <f>Données!V224</f>
        <v>83872.399999999994</v>
      </c>
      <c r="R224" s="302">
        <f t="shared" si="29"/>
        <v>41879.869999999995</v>
      </c>
      <c r="S224" s="322">
        <f t="shared" si="30"/>
        <v>-113063.74013221161</v>
      </c>
      <c r="T224" s="323">
        <f t="shared" si="35"/>
        <v>-71183.87013221161</v>
      </c>
    </row>
    <row r="225" spans="1:20" x14ac:dyDescent="0.25">
      <c r="A225" s="148">
        <f>Données!A225</f>
        <v>5762</v>
      </c>
      <c r="B225" s="160" t="str">
        <f>Données!B225</f>
        <v>Sergey</v>
      </c>
      <c r="C225" s="321">
        <f>Données!C225</f>
        <v>133</v>
      </c>
      <c r="D225" s="318">
        <f>RFS!W225</f>
        <v>239981.25228318825</v>
      </c>
      <c r="E225" s="336"/>
      <c r="F225" s="342">
        <f t="shared" si="27"/>
        <v>1804.3703179187087</v>
      </c>
      <c r="G225" s="336">
        <f t="shared" si="31"/>
        <v>-1536.0443445041337</v>
      </c>
      <c r="H225" s="343">
        <f t="shared" si="28"/>
        <v>-163435.11825523982</v>
      </c>
      <c r="I225" s="313"/>
      <c r="J225" s="344">
        <f t="shared" si="32"/>
        <v>3033.2057935220155</v>
      </c>
      <c r="K225" s="344">
        <f t="shared" si="33"/>
        <v>0</v>
      </c>
      <c r="L225" s="343">
        <f t="shared" si="34"/>
        <v>0</v>
      </c>
      <c r="M225" s="336"/>
      <c r="N225" s="345">
        <f>Données!S225</f>
        <v>20869.099999999999</v>
      </c>
      <c r="O225" s="345">
        <f>Données!T225</f>
        <v>0</v>
      </c>
      <c r="P225" s="345">
        <f>Données!U225</f>
        <v>0</v>
      </c>
      <c r="Q225" s="318">
        <f>Données!V225</f>
        <v>13237.85</v>
      </c>
      <c r="R225" s="302">
        <f t="shared" si="29"/>
        <v>14405.904999999999</v>
      </c>
      <c r="S225" s="322">
        <f t="shared" si="30"/>
        <v>-26852.638281400257</v>
      </c>
      <c r="T225" s="323">
        <f t="shared" si="35"/>
        <v>-12446.733281400258</v>
      </c>
    </row>
    <row r="226" spans="1:20" x14ac:dyDescent="0.25">
      <c r="A226" s="148">
        <f>Données!A226</f>
        <v>5763</v>
      </c>
      <c r="B226" s="160" t="str">
        <f>Données!B226</f>
        <v>Valeyres-sous-Rances</v>
      </c>
      <c r="C226" s="321">
        <f>Données!C226</f>
        <v>583</v>
      </c>
      <c r="D226" s="318">
        <f>RFS!W226</f>
        <v>1488996.4041587315</v>
      </c>
      <c r="E226" s="336"/>
      <c r="F226" s="342">
        <f t="shared" si="27"/>
        <v>2554.0247069618035</v>
      </c>
      <c r="G226" s="336">
        <f t="shared" si="31"/>
        <v>-786.38995546103888</v>
      </c>
      <c r="H226" s="343">
        <f t="shared" si="28"/>
        <v>-366772.27522702859</v>
      </c>
      <c r="I226" s="313"/>
      <c r="J226" s="344">
        <f t="shared" si="32"/>
        <v>3183.1366713306347</v>
      </c>
      <c r="K226" s="344">
        <f t="shared" si="33"/>
        <v>0</v>
      </c>
      <c r="L226" s="343">
        <f t="shared" si="34"/>
        <v>0</v>
      </c>
      <c r="M226" s="336"/>
      <c r="N226" s="345">
        <f>Données!S226</f>
        <v>96135.25</v>
      </c>
      <c r="O226" s="345">
        <f>Données!T226</f>
        <v>0</v>
      </c>
      <c r="P226" s="345">
        <f>Données!U226</f>
        <v>96729.8</v>
      </c>
      <c r="Q226" s="318">
        <f>Données!V226</f>
        <v>37812.949999999997</v>
      </c>
      <c r="R226" s="302">
        <f t="shared" si="29"/>
        <v>107776.40999999999</v>
      </c>
      <c r="S226" s="322">
        <f t="shared" si="30"/>
        <v>-117707.42945907029</v>
      </c>
      <c r="T226" s="323">
        <f t="shared" si="35"/>
        <v>-9931.0194590703031</v>
      </c>
    </row>
    <row r="227" spans="1:20" x14ac:dyDescent="0.25">
      <c r="A227" s="148">
        <f>Données!A227</f>
        <v>5764</v>
      </c>
      <c r="B227" s="160" t="str">
        <f>Données!B227</f>
        <v>Vallorbe</v>
      </c>
      <c r="C227" s="321">
        <f>Données!C227</f>
        <v>4328</v>
      </c>
      <c r="D227" s="318">
        <f>RFS!W227</f>
        <v>6453813.294468415</v>
      </c>
      <c r="E227" s="336"/>
      <c r="F227" s="342">
        <f t="shared" si="27"/>
        <v>1491.1768240453823</v>
      </c>
      <c r="G227" s="336">
        <f t="shared" si="31"/>
        <v>-1849.2378383774601</v>
      </c>
      <c r="H227" s="343">
        <f t="shared" si="28"/>
        <v>-6402801.0915981177</v>
      </c>
      <c r="I227" s="313"/>
      <c r="J227" s="344">
        <f t="shared" si="32"/>
        <v>2970.5670947473504</v>
      </c>
      <c r="K227" s="344">
        <f t="shared" si="33"/>
        <v>-35.806101433206095</v>
      </c>
      <c r="L227" s="343">
        <f t="shared" si="34"/>
        <v>-154969</v>
      </c>
      <c r="M227" s="336"/>
      <c r="N227" s="345">
        <f>Données!S227</f>
        <v>486034.6</v>
      </c>
      <c r="O227" s="345">
        <f>Données!T227</f>
        <v>788073.5</v>
      </c>
      <c r="P227" s="345">
        <f>Données!U227</f>
        <v>187462.95</v>
      </c>
      <c r="Q227" s="318">
        <f>Données!V227</f>
        <v>2546635.35</v>
      </c>
      <c r="R227" s="302">
        <f t="shared" si="29"/>
        <v>1494776.13</v>
      </c>
      <c r="S227" s="322">
        <f t="shared" si="30"/>
        <v>-873821.19159323536</v>
      </c>
      <c r="T227" s="323">
        <f t="shared" si="35"/>
        <v>620954.93840676453</v>
      </c>
    </row>
    <row r="228" spans="1:20" x14ac:dyDescent="0.25">
      <c r="A228" s="148">
        <f>Données!A228</f>
        <v>5765</v>
      </c>
      <c r="B228" s="160" t="str">
        <f>Données!B228</f>
        <v>Vaulion</v>
      </c>
      <c r="C228" s="321">
        <f>Données!C228</f>
        <v>489</v>
      </c>
      <c r="D228" s="318">
        <f>RFS!W228</f>
        <v>702211.60281185189</v>
      </c>
      <c r="E228" s="336"/>
      <c r="F228" s="342">
        <f t="shared" si="27"/>
        <v>1436.0155476724988</v>
      </c>
      <c r="G228" s="336">
        <f t="shared" si="31"/>
        <v>-1904.3991147503436</v>
      </c>
      <c r="H228" s="343">
        <f t="shared" si="28"/>
        <v>-745000.93369033444</v>
      </c>
      <c r="I228" s="313"/>
      <c r="J228" s="344">
        <f t="shared" si="32"/>
        <v>2959.5348394727735</v>
      </c>
      <c r="K228" s="344">
        <f t="shared" si="33"/>
        <v>-46.838356707783078</v>
      </c>
      <c r="L228" s="343">
        <f t="shared" si="34"/>
        <v>-22904</v>
      </c>
      <c r="M228" s="336"/>
      <c r="N228" s="345">
        <f>Données!S228</f>
        <v>38814.800000000003</v>
      </c>
      <c r="O228" s="345">
        <f>Données!T228</f>
        <v>0</v>
      </c>
      <c r="P228" s="345">
        <f>Données!U228</f>
        <v>44132.1</v>
      </c>
      <c r="Q228" s="318">
        <f>Données!V228</f>
        <v>73030.8</v>
      </c>
      <c r="R228" s="302">
        <f t="shared" si="29"/>
        <v>63382.69</v>
      </c>
      <c r="S228" s="322">
        <f t="shared" si="30"/>
        <v>-98728.873079734782</v>
      </c>
      <c r="T228" s="323">
        <f t="shared" si="35"/>
        <v>-35346.183079734779</v>
      </c>
    </row>
    <row r="229" spans="1:20" x14ac:dyDescent="0.25">
      <c r="A229" s="148">
        <f>Données!A229</f>
        <v>5766</v>
      </c>
      <c r="B229" s="160" t="str">
        <f>Données!B229</f>
        <v>Vuiteboeuf</v>
      </c>
      <c r="C229" s="321">
        <f>Données!C229</f>
        <v>607</v>
      </c>
      <c r="D229" s="318">
        <f>RFS!W229</f>
        <v>1053816.7595616528</v>
      </c>
      <c r="E229" s="336"/>
      <c r="F229" s="342">
        <f t="shared" si="27"/>
        <v>1736.1066879104658</v>
      </c>
      <c r="G229" s="336">
        <f t="shared" si="31"/>
        <v>-1604.3079745123766</v>
      </c>
      <c r="H229" s="343">
        <f t="shared" si="28"/>
        <v>-779051.95242321014</v>
      </c>
      <c r="I229" s="313"/>
      <c r="J229" s="344">
        <f t="shared" si="32"/>
        <v>3019.5530675203672</v>
      </c>
      <c r="K229" s="344">
        <f t="shared" si="33"/>
        <v>0</v>
      </c>
      <c r="L229" s="343">
        <f t="shared" si="34"/>
        <v>0</v>
      </c>
      <c r="M229" s="336"/>
      <c r="N229" s="345">
        <f>Données!S229</f>
        <v>72292</v>
      </c>
      <c r="O229" s="345">
        <f>Données!T229</f>
        <v>0</v>
      </c>
      <c r="P229" s="345">
        <f>Données!U229</f>
        <v>61851.35</v>
      </c>
      <c r="Q229" s="318">
        <f>Données!V229</f>
        <v>38670.65</v>
      </c>
      <c r="R229" s="302">
        <f t="shared" si="29"/>
        <v>78672.87</v>
      </c>
      <c r="S229" s="322">
        <f t="shared" si="30"/>
        <v>-122553.01832187937</v>
      </c>
      <c r="T229" s="323">
        <f t="shared" si="35"/>
        <v>-43880.148321879373</v>
      </c>
    </row>
    <row r="230" spans="1:20" x14ac:dyDescent="0.25">
      <c r="A230" s="148">
        <f>Données!A230</f>
        <v>5785</v>
      </c>
      <c r="B230" s="160" t="str">
        <f>Données!B230</f>
        <v>Corcelles-le-Jorat</v>
      </c>
      <c r="C230" s="321">
        <f>Données!C230</f>
        <v>499</v>
      </c>
      <c r="D230" s="318">
        <f>RFS!W230</f>
        <v>1037117.8092691164</v>
      </c>
      <c r="E230" s="336"/>
      <c r="F230" s="342">
        <f t="shared" si="27"/>
        <v>2078.3924033449225</v>
      </c>
      <c r="G230" s="336">
        <f t="shared" si="31"/>
        <v>-1262.0222590779199</v>
      </c>
      <c r="H230" s="343">
        <f t="shared" si="28"/>
        <v>-503799.28582390567</v>
      </c>
      <c r="I230" s="313"/>
      <c r="J230" s="344">
        <f t="shared" si="32"/>
        <v>3088.0102106072586</v>
      </c>
      <c r="K230" s="344">
        <f t="shared" si="33"/>
        <v>0</v>
      </c>
      <c r="L230" s="343">
        <f t="shared" si="34"/>
        <v>0</v>
      </c>
      <c r="M230" s="336"/>
      <c r="N230" s="345">
        <f>Données!S230</f>
        <v>39377.800000000003</v>
      </c>
      <c r="O230" s="345">
        <f>Données!T230</f>
        <v>78100.400000000023</v>
      </c>
      <c r="P230" s="345">
        <f>Données!U230</f>
        <v>34201.550000000003</v>
      </c>
      <c r="Q230" s="318">
        <f>Données!V230</f>
        <v>0</v>
      </c>
      <c r="R230" s="302">
        <f t="shared" si="29"/>
        <v>75839.875000000015</v>
      </c>
      <c r="S230" s="322">
        <f t="shared" si="30"/>
        <v>-100747.86843923856</v>
      </c>
      <c r="T230" s="323">
        <f t="shared" si="35"/>
        <v>-24907.993439238548</v>
      </c>
    </row>
    <row r="231" spans="1:20" x14ac:dyDescent="0.25">
      <c r="A231" s="148">
        <f>Données!A231</f>
        <v>5790</v>
      </c>
      <c r="B231" s="160" t="str">
        <f>Données!B231</f>
        <v>Maracon</v>
      </c>
      <c r="C231" s="321">
        <f>Données!C231</f>
        <v>569</v>
      </c>
      <c r="D231" s="318">
        <f>RFS!W231</f>
        <v>1108433.4285093597</v>
      </c>
      <c r="E231" s="336"/>
      <c r="F231" s="342">
        <f t="shared" si="27"/>
        <v>1948.0376599461506</v>
      </c>
      <c r="G231" s="336">
        <f t="shared" si="31"/>
        <v>-1392.3770024766918</v>
      </c>
      <c r="H231" s="343">
        <f t="shared" si="28"/>
        <v>-633810.0115273901</v>
      </c>
      <c r="I231" s="313"/>
      <c r="J231" s="344">
        <f t="shared" si="32"/>
        <v>3061.939261927504</v>
      </c>
      <c r="K231" s="344">
        <f t="shared" si="33"/>
        <v>0</v>
      </c>
      <c r="L231" s="343">
        <f t="shared" si="34"/>
        <v>0</v>
      </c>
      <c r="M231" s="336"/>
      <c r="N231" s="345">
        <f>Données!S231</f>
        <v>31891.599999999999</v>
      </c>
      <c r="O231" s="345">
        <f>Données!T231</f>
        <v>14335.2</v>
      </c>
      <c r="P231" s="345">
        <f>Données!U231</f>
        <v>21974.799999999999</v>
      </c>
      <c r="Q231" s="318">
        <f>Données!V231</f>
        <v>0</v>
      </c>
      <c r="R231" s="302">
        <f t="shared" si="29"/>
        <v>34100.800000000003</v>
      </c>
      <c r="S231" s="322">
        <f t="shared" si="30"/>
        <v>-114880.83595576501</v>
      </c>
      <c r="T231" s="323">
        <f t="shared" si="35"/>
        <v>-80780.035955765008</v>
      </c>
    </row>
    <row r="232" spans="1:20" x14ac:dyDescent="0.25">
      <c r="A232" s="148">
        <f>Données!A232</f>
        <v>5792</v>
      </c>
      <c r="B232" s="160" t="str">
        <f>Données!B232</f>
        <v>Montpreveyres</v>
      </c>
      <c r="C232" s="321">
        <f>Données!C232</f>
        <v>653</v>
      </c>
      <c r="D232" s="318">
        <f>RFS!W232</f>
        <v>1363513.6746630187</v>
      </c>
      <c r="E232" s="336"/>
      <c r="F232" s="342">
        <f t="shared" si="27"/>
        <v>2088.0760714594467</v>
      </c>
      <c r="G232" s="336">
        <f t="shared" si="31"/>
        <v>-1252.3385909633957</v>
      </c>
      <c r="H232" s="343">
        <f t="shared" si="28"/>
        <v>-654221.67991927802</v>
      </c>
      <c r="I232" s="313"/>
      <c r="J232" s="344">
        <f t="shared" si="32"/>
        <v>3089.9469442301634</v>
      </c>
      <c r="K232" s="344">
        <f t="shared" si="33"/>
        <v>0</v>
      </c>
      <c r="L232" s="343">
        <f t="shared" si="34"/>
        <v>0</v>
      </c>
      <c r="M232" s="336"/>
      <c r="N232" s="345">
        <f>Données!S232</f>
        <v>108002.05</v>
      </c>
      <c r="O232" s="345">
        <f>Données!T232</f>
        <v>30867.9</v>
      </c>
      <c r="P232" s="345">
        <f>Données!U232</f>
        <v>100136.15</v>
      </c>
      <c r="Q232" s="318">
        <f>Données!V232</f>
        <v>417.45</v>
      </c>
      <c r="R232" s="302">
        <f t="shared" si="29"/>
        <v>119628.285</v>
      </c>
      <c r="S232" s="322">
        <f t="shared" si="30"/>
        <v>-131840.39697559676</v>
      </c>
      <c r="T232" s="323">
        <f t="shared" si="35"/>
        <v>-12212.111975596752</v>
      </c>
    </row>
    <row r="233" spans="1:20" x14ac:dyDescent="0.25">
      <c r="A233" s="148">
        <f>Données!A233</f>
        <v>5798</v>
      </c>
      <c r="B233" s="160" t="str">
        <f>Données!B233</f>
        <v>Ropraz</v>
      </c>
      <c r="C233" s="321">
        <f>Données!C233</f>
        <v>529</v>
      </c>
      <c r="D233" s="318">
        <f>RFS!W233</f>
        <v>1076324.8705546027</v>
      </c>
      <c r="E233" s="336"/>
      <c r="F233" s="342">
        <f t="shared" si="27"/>
        <v>2034.6405870597405</v>
      </c>
      <c r="G233" s="336">
        <f t="shared" si="31"/>
        <v>-1305.7740753631019</v>
      </c>
      <c r="H233" s="343">
        <f t="shared" si="28"/>
        <v>-552603.58869366476</v>
      </c>
      <c r="I233" s="313"/>
      <c r="J233" s="344">
        <f t="shared" si="32"/>
        <v>3079.2598473502221</v>
      </c>
      <c r="K233" s="344">
        <f t="shared" si="33"/>
        <v>0</v>
      </c>
      <c r="L233" s="343">
        <f t="shared" si="34"/>
        <v>0</v>
      </c>
      <c r="M233" s="336"/>
      <c r="N233" s="345">
        <f>Données!S233</f>
        <v>89138.5</v>
      </c>
      <c r="O233" s="345">
        <f>Données!T233</f>
        <v>1522.5</v>
      </c>
      <c r="P233" s="345">
        <f>Données!U233</f>
        <v>27339.3</v>
      </c>
      <c r="Q233" s="318">
        <f>Données!V233</f>
        <v>43039.3</v>
      </c>
      <c r="R233" s="302">
        <f t="shared" si="29"/>
        <v>71911.94</v>
      </c>
      <c r="S233" s="322">
        <f t="shared" si="30"/>
        <v>-106804.85451774989</v>
      </c>
      <c r="T233" s="323">
        <f t="shared" si="35"/>
        <v>-34892.914517749887</v>
      </c>
    </row>
    <row r="234" spans="1:20" x14ac:dyDescent="0.25">
      <c r="A234" s="148">
        <f>Données!A234</f>
        <v>5799</v>
      </c>
      <c r="B234" s="160" t="str">
        <f>Données!B234</f>
        <v>Servion</v>
      </c>
      <c r="C234" s="321">
        <f>Données!C234</f>
        <v>2228</v>
      </c>
      <c r="D234" s="318">
        <f>RFS!W234</f>
        <v>5401870.1485695345</v>
      </c>
      <c r="E234" s="336"/>
      <c r="F234" s="342">
        <f t="shared" si="27"/>
        <v>2424.5377686577804</v>
      </c>
      <c r="G234" s="336">
        <f t="shared" si="31"/>
        <v>-915.87689376506205</v>
      </c>
      <c r="H234" s="343">
        <f t="shared" si="28"/>
        <v>-1632458.9754468466</v>
      </c>
      <c r="I234" s="313"/>
      <c r="J234" s="344">
        <f t="shared" si="32"/>
        <v>3157.23928366983</v>
      </c>
      <c r="K234" s="344">
        <f t="shared" si="33"/>
        <v>0</v>
      </c>
      <c r="L234" s="343">
        <f t="shared" si="34"/>
        <v>0</v>
      </c>
      <c r="M234" s="336"/>
      <c r="N234" s="345">
        <f>Données!S234</f>
        <v>311787.65000000002</v>
      </c>
      <c r="O234" s="345">
        <f>Données!T234</f>
        <v>20356.2</v>
      </c>
      <c r="P234" s="345">
        <f>Données!U234</f>
        <v>236063.9</v>
      </c>
      <c r="Q234" s="318">
        <f>Données!V234</f>
        <v>37098.199999999997</v>
      </c>
      <c r="R234" s="302">
        <f t="shared" si="29"/>
        <v>295233.33500000002</v>
      </c>
      <c r="S234" s="322">
        <f t="shared" si="30"/>
        <v>-449832.16609744186</v>
      </c>
      <c r="T234" s="323">
        <f t="shared" si="35"/>
        <v>-154598.83109744184</v>
      </c>
    </row>
    <row r="235" spans="1:20" x14ac:dyDescent="0.25">
      <c r="A235" s="148">
        <f>Données!A235</f>
        <v>5803</v>
      </c>
      <c r="B235" s="160" t="str">
        <f>Données!B235</f>
        <v>Vulliens</v>
      </c>
      <c r="C235" s="321">
        <f>Données!C235</f>
        <v>628</v>
      </c>
      <c r="D235" s="318">
        <f>RFS!W235</f>
        <v>1258134.3557767624</v>
      </c>
      <c r="E235" s="336"/>
      <c r="F235" s="342">
        <f t="shared" si="27"/>
        <v>2003.3986556954815</v>
      </c>
      <c r="G235" s="336">
        <f t="shared" si="31"/>
        <v>-1337.0160067273609</v>
      </c>
      <c r="H235" s="343">
        <f t="shared" si="28"/>
        <v>-671716.84177982621</v>
      </c>
      <c r="I235" s="313"/>
      <c r="J235" s="344">
        <f t="shared" si="32"/>
        <v>3073.0114610773703</v>
      </c>
      <c r="K235" s="344">
        <f t="shared" si="33"/>
        <v>0</v>
      </c>
      <c r="L235" s="343">
        <f t="shared" si="34"/>
        <v>0</v>
      </c>
      <c r="M235" s="336"/>
      <c r="N235" s="345">
        <f>Données!S235</f>
        <v>86878</v>
      </c>
      <c r="O235" s="345">
        <f>Données!T235</f>
        <v>17167.2</v>
      </c>
      <c r="P235" s="345">
        <f>Données!U235</f>
        <v>29190.45</v>
      </c>
      <c r="Q235" s="318">
        <f>Données!V235</f>
        <v>1601.5</v>
      </c>
      <c r="R235" s="302">
        <f t="shared" si="29"/>
        <v>67098.274999999994</v>
      </c>
      <c r="S235" s="322">
        <f t="shared" si="30"/>
        <v>-126792.9085768373</v>
      </c>
      <c r="T235" s="323">
        <f t="shared" si="35"/>
        <v>-59694.63357683731</v>
      </c>
    </row>
    <row r="236" spans="1:20" x14ac:dyDescent="0.25">
      <c r="A236" s="148">
        <f>Données!A236</f>
        <v>5804</v>
      </c>
      <c r="B236" s="160" t="str">
        <f>Données!B236</f>
        <v>Jorat-Menthue</v>
      </c>
      <c r="C236" s="321">
        <f>Données!C236</f>
        <v>1576</v>
      </c>
      <c r="D236" s="318">
        <f>RFS!W236</f>
        <v>3264410.8443419496</v>
      </c>
      <c r="E236" s="336"/>
      <c r="F236" s="342">
        <f t="shared" si="27"/>
        <v>2071.3266778819475</v>
      </c>
      <c r="G236" s="336">
        <f t="shared" si="31"/>
        <v>-1269.0879845408949</v>
      </c>
      <c r="H236" s="343">
        <f t="shared" si="28"/>
        <v>-1600066.1309091602</v>
      </c>
      <c r="I236" s="313"/>
      <c r="J236" s="344">
        <f t="shared" si="32"/>
        <v>3086.5970655146634</v>
      </c>
      <c r="K236" s="344">
        <f t="shared" si="33"/>
        <v>0</v>
      </c>
      <c r="L236" s="343">
        <f t="shared" si="34"/>
        <v>0</v>
      </c>
      <c r="M236" s="336"/>
      <c r="N236" s="345">
        <f>Données!S236</f>
        <v>128410.55</v>
      </c>
      <c r="O236" s="345">
        <f>Données!T236</f>
        <v>49141.7</v>
      </c>
      <c r="P236" s="345">
        <f>Données!U236</f>
        <v>102883.25</v>
      </c>
      <c r="Q236" s="318">
        <f>Données!V236</f>
        <v>15877.4</v>
      </c>
      <c r="R236" s="302">
        <f t="shared" si="29"/>
        <v>144980.97</v>
      </c>
      <c r="S236" s="322">
        <f t="shared" si="30"/>
        <v>-318193.66865779553</v>
      </c>
      <c r="T236" s="323">
        <f t="shared" si="35"/>
        <v>-173212.69865779552</v>
      </c>
    </row>
    <row r="237" spans="1:20" x14ac:dyDescent="0.25">
      <c r="A237" s="148">
        <f>Données!A237</f>
        <v>5805</v>
      </c>
      <c r="B237" s="160" t="str">
        <f>Données!B237</f>
        <v>Oron</v>
      </c>
      <c r="C237" s="321">
        <f>Données!C237</f>
        <v>6345</v>
      </c>
      <c r="D237" s="318">
        <f>RFS!W237</f>
        <v>12795487.846170178</v>
      </c>
      <c r="E237" s="336"/>
      <c r="F237" s="342">
        <f t="shared" si="27"/>
        <v>2016.6253500662219</v>
      </c>
      <c r="G237" s="336">
        <f t="shared" si="31"/>
        <v>-1323.7893123566205</v>
      </c>
      <c r="H237" s="343">
        <f t="shared" si="28"/>
        <v>-6719554.5495222062</v>
      </c>
      <c r="I237" s="313"/>
      <c r="J237" s="344">
        <f t="shared" si="32"/>
        <v>3075.6567999515182</v>
      </c>
      <c r="K237" s="344">
        <f t="shared" si="33"/>
        <v>0</v>
      </c>
      <c r="L237" s="343">
        <f t="shared" si="34"/>
        <v>0</v>
      </c>
      <c r="M237" s="336"/>
      <c r="N237" s="345">
        <f>Données!S237</f>
        <v>977862.5</v>
      </c>
      <c r="O237" s="345">
        <f>Données!T237</f>
        <v>115429.5</v>
      </c>
      <c r="P237" s="345">
        <f>Données!U237</f>
        <v>382981.55</v>
      </c>
      <c r="Q237" s="318">
        <f>Données!V237</f>
        <v>169721.85</v>
      </c>
      <c r="R237" s="302">
        <f t="shared" si="29"/>
        <v>789053.33000000007</v>
      </c>
      <c r="S237" s="322">
        <f t="shared" si="30"/>
        <v>-1281052.5556051475</v>
      </c>
      <c r="T237" s="323">
        <f t="shared" si="35"/>
        <v>-491999.22560514743</v>
      </c>
    </row>
    <row r="238" spans="1:20" x14ac:dyDescent="0.25">
      <c r="A238" s="148">
        <f>Données!A238</f>
        <v>5806</v>
      </c>
      <c r="B238" s="160" t="str">
        <f>Données!B238</f>
        <v>Jorat-Mézières</v>
      </c>
      <c r="C238" s="321">
        <f>Données!C238</f>
        <v>3189</v>
      </c>
      <c r="D238" s="318">
        <f>RFS!W238</f>
        <v>6914742.1465714499</v>
      </c>
      <c r="E238" s="336"/>
      <c r="F238" s="342">
        <f t="shared" si="27"/>
        <v>2168.3104881064442</v>
      </c>
      <c r="G238" s="336">
        <f t="shared" si="31"/>
        <v>-1172.1041743163983</v>
      </c>
      <c r="H238" s="343">
        <f t="shared" si="28"/>
        <v>-2990272.1695159953</v>
      </c>
      <c r="I238" s="313"/>
      <c r="J238" s="344">
        <f t="shared" si="32"/>
        <v>3105.9938275595628</v>
      </c>
      <c r="K238" s="344">
        <f t="shared" si="33"/>
        <v>0</v>
      </c>
      <c r="L238" s="343">
        <f t="shared" si="34"/>
        <v>0</v>
      </c>
      <c r="M238" s="336"/>
      <c r="N238" s="345">
        <f>Données!S238</f>
        <v>319644.75</v>
      </c>
      <c r="O238" s="345">
        <f>Données!T238</f>
        <v>351531.3</v>
      </c>
      <c r="P238" s="345">
        <f>Données!U238</f>
        <v>207932.75</v>
      </c>
      <c r="Q238" s="318">
        <f>Données!V238</f>
        <v>34586.400000000001</v>
      </c>
      <c r="R238" s="302">
        <f t="shared" si="29"/>
        <v>449930.32</v>
      </c>
      <c r="S238" s="322">
        <f t="shared" si="30"/>
        <v>-643857.62014575501</v>
      </c>
      <c r="T238" s="323">
        <f t="shared" si="35"/>
        <v>-193927.300145755</v>
      </c>
    </row>
    <row r="239" spans="1:20" x14ac:dyDescent="0.25">
      <c r="A239" s="148">
        <f>Données!A239</f>
        <v>5812</v>
      </c>
      <c r="B239" s="160" t="str">
        <f>Données!B239</f>
        <v>Champtauroz</v>
      </c>
      <c r="C239" s="321">
        <f>Données!C239</f>
        <v>196</v>
      </c>
      <c r="D239" s="318">
        <f>RFS!W239</f>
        <v>271118.66864578333</v>
      </c>
      <c r="E239" s="336"/>
      <c r="F239" s="342">
        <f t="shared" si="27"/>
        <v>1383.2585134988944</v>
      </c>
      <c r="G239" s="336">
        <f t="shared" si="31"/>
        <v>-1957.156148923948</v>
      </c>
      <c r="H239" s="343">
        <f t="shared" si="28"/>
        <v>-306882.08415127505</v>
      </c>
      <c r="I239" s="313"/>
      <c r="J239" s="344">
        <f t="shared" si="32"/>
        <v>2948.9834326380528</v>
      </c>
      <c r="K239" s="344">
        <f t="shared" si="33"/>
        <v>-57.389763542503715</v>
      </c>
      <c r="L239" s="343">
        <f t="shared" si="34"/>
        <v>-11248</v>
      </c>
      <c r="M239" s="336"/>
      <c r="N239" s="345">
        <f>Données!S239</f>
        <v>13090</v>
      </c>
      <c r="O239" s="345">
        <f>Données!T239</f>
        <v>0</v>
      </c>
      <c r="P239" s="345">
        <f>Données!U239</f>
        <v>22625.3</v>
      </c>
      <c r="Q239" s="318">
        <f>Données!V239</f>
        <v>0</v>
      </c>
      <c r="R239" s="302">
        <f t="shared" si="29"/>
        <v>17857.650000000001</v>
      </c>
      <c r="S239" s="322">
        <f t="shared" si="30"/>
        <v>-39572.309046274066</v>
      </c>
      <c r="T239" s="323">
        <f t="shared" si="35"/>
        <v>-21714.659046274064</v>
      </c>
    </row>
    <row r="240" spans="1:20" x14ac:dyDescent="0.25">
      <c r="A240" s="148">
        <f>Données!A240</f>
        <v>5813</v>
      </c>
      <c r="B240" s="160" t="str">
        <f>Données!B240</f>
        <v>Chevroux</v>
      </c>
      <c r="C240" s="321">
        <f>Données!C240</f>
        <v>495</v>
      </c>
      <c r="D240" s="318">
        <f>RFS!W240</f>
        <v>1299510.3120968277</v>
      </c>
      <c r="E240" s="336"/>
      <c r="F240" s="342">
        <f t="shared" si="27"/>
        <v>2625.2733577713689</v>
      </c>
      <c r="G240" s="336">
        <f t="shared" si="31"/>
        <v>-715.14130465147355</v>
      </c>
      <c r="H240" s="343">
        <f t="shared" si="28"/>
        <v>-283195.95664198353</v>
      </c>
      <c r="I240" s="313"/>
      <c r="J240" s="344">
        <f t="shared" si="32"/>
        <v>3197.3864014925475</v>
      </c>
      <c r="K240" s="344">
        <f t="shared" si="33"/>
        <v>0</v>
      </c>
      <c r="L240" s="343">
        <f t="shared" si="34"/>
        <v>0</v>
      </c>
      <c r="M240" s="336"/>
      <c r="N240" s="345">
        <f>Données!S240</f>
        <v>21061.3</v>
      </c>
      <c r="O240" s="345">
        <f>Données!T240</f>
        <v>2205</v>
      </c>
      <c r="P240" s="345">
        <f>Données!U240</f>
        <v>30215.4</v>
      </c>
      <c r="Q240" s="318">
        <f>Données!V240</f>
        <v>5091.6000000000004</v>
      </c>
      <c r="R240" s="302">
        <f t="shared" si="29"/>
        <v>28268.329999999998</v>
      </c>
      <c r="S240" s="322">
        <f t="shared" si="30"/>
        <v>-99940.270295437047</v>
      </c>
      <c r="T240" s="323">
        <f t="shared" si="35"/>
        <v>-71671.940295437045</v>
      </c>
    </row>
    <row r="241" spans="1:20" x14ac:dyDescent="0.25">
      <c r="A241" s="148">
        <f>Données!A241</f>
        <v>5816</v>
      </c>
      <c r="B241" s="160" t="str">
        <f>Données!B241</f>
        <v>Corcelles-près-Payerne</v>
      </c>
      <c r="C241" s="321">
        <f>Données!C241</f>
        <v>3004</v>
      </c>
      <c r="D241" s="318">
        <f>RFS!W241</f>
        <v>4953468.4327087253</v>
      </c>
      <c r="E241" s="336"/>
      <c r="F241" s="342">
        <f t="shared" si="27"/>
        <v>1648.9575341906543</v>
      </c>
      <c r="G241" s="336">
        <f t="shared" si="31"/>
        <v>-1691.4571282321881</v>
      </c>
      <c r="H241" s="343">
        <f t="shared" si="28"/>
        <v>-4064909.7705675946</v>
      </c>
      <c r="I241" s="313"/>
      <c r="J241" s="344">
        <f t="shared" si="32"/>
        <v>3002.1232367764051</v>
      </c>
      <c r="K241" s="344">
        <f t="shared" si="33"/>
        <v>-4.2499594041514683</v>
      </c>
      <c r="L241" s="343">
        <f t="shared" si="34"/>
        <v>-12767</v>
      </c>
      <c r="M241" s="336"/>
      <c r="N241" s="345">
        <f>Données!S241</f>
        <v>290810.90000000002</v>
      </c>
      <c r="O241" s="345">
        <f>Données!T241</f>
        <v>147637</v>
      </c>
      <c r="P241" s="345">
        <f>Données!U241</f>
        <v>239297.55</v>
      </c>
      <c r="Q241" s="318">
        <f>Données!V241</f>
        <v>40244.949999999997</v>
      </c>
      <c r="R241" s="302">
        <f t="shared" si="29"/>
        <v>350946.20999999996</v>
      </c>
      <c r="S241" s="322">
        <f t="shared" si="30"/>
        <v>-606506.20599493512</v>
      </c>
      <c r="T241" s="323">
        <f t="shared" si="35"/>
        <v>-255559.99599493516</v>
      </c>
    </row>
    <row r="242" spans="1:20" x14ac:dyDescent="0.25">
      <c r="A242" s="148">
        <f>Données!A242</f>
        <v>5817</v>
      </c>
      <c r="B242" s="160" t="str">
        <f>Données!B242</f>
        <v>Grandcour</v>
      </c>
      <c r="C242" s="321">
        <f>Données!C242</f>
        <v>983</v>
      </c>
      <c r="D242" s="318">
        <f>RFS!W242</f>
        <v>1838541.8216089879</v>
      </c>
      <c r="E242" s="336"/>
      <c r="F242" s="342">
        <f t="shared" si="27"/>
        <v>1870.3375601312187</v>
      </c>
      <c r="G242" s="336">
        <f t="shared" si="31"/>
        <v>-1470.0771022916238</v>
      </c>
      <c r="H242" s="343">
        <f t="shared" si="28"/>
        <v>-1156068.6332421328</v>
      </c>
      <c r="I242" s="313"/>
      <c r="J242" s="344">
        <f t="shared" si="32"/>
        <v>3046.3992419645174</v>
      </c>
      <c r="K242" s="344">
        <f t="shared" si="33"/>
        <v>0</v>
      </c>
      <c r="L242" s="343">
        <f t="shared" si="34"/>
        <v>0</v>
      </c>
      <c r="M242" s="336"/>
      <c r="N242" s="345">
        <f>Données!S242</f>
        <v>53998.85</v>
      </c>
      <c r="O242" s="345">
        <f>Données!T242</f>
        <v>4751.1000000000004</v>
      </c>
      <c r="P242" s="345">
        <f>Données!U242</f>
        <v>78320</v>
      </c>
      <c r="Q242" s="318">
        <f>Données!V242</f>
        <v>0</v>
      </c>
      <c r="R242" s="302">
        <f t="shared" si="29"/>
        <v>68534.975000000006</v>
      </c>
      <c r="S242" s="322">
        <f t="shared" si="30"/>
        <v>-198467.24383922145</v>
      </c>
      <c r="T242" s="323">
        <f t="shared" si="35"/>
        <v>-129932.26883922145</v>
      </c>
    </row>
    <row r="243" spans="1:20" x14ac:dyDescent="0.25">
      <c r="A243" s="148">
        <f>Données!A243</f>
        <v>5819</v>
      </c>
      <c r="B243" s="160" t="str">
        <f>Données!B243</f>
        <v>Henniez</v>
      </c>
      <c r="C243" s="321">
        <f>Données!C243</f>
        <v>468</v>
      </c>
      <c r="D243" s="318">
        <f>RFS!W243</f>
        <v>1007076.4588049897</v>
      </c>
      <c r="E243" s="336"/>
      <c r="F243" s="342">
        <f t="shared" si="27"/>
        <v>2151.8727752243371</v>
      </c>
      <c r="G243" s="336">
        <f t="shared" si="31"/>
        <v>-1188.5418871985053</v>
      </c>
      <c r="H243" s="343">
        <f t="shared" si="28"/>
        <v>-444990.08256712038</v>
      </c>
      <c r="I243" s="313"/>
      <c r="J243" s="344">
        <f t="shared" si="32"/>
        <v>3102.7062849831414</v>
      </c>
      <c r="K243" s="344">
        <f t="shared" si="33"/>
        <v>0</v>
      </c>
      <c r="L243" s="343">
        <f t="shared" si="34"/>
        <v>0</v>
      </c>
      <c r="M243" s="336"/>
      <c r="N243" s="345">
        <f>Données!S243</f>
        <v>29206.9</v>
      </c>
      <c r="O243" s="345">
        <f>Données!T243</f>
        <v>0</v>
      </c>
      <c r="P243" s="345">
        <f>Données!U243</f>
        <v>14209.25</v>
      </c>
      <c r="Q243" s="318">
        <f>Données!V243</f>
        <v>6123.25</v>
      </c>
      <c r="R243" s="302">
        <f t="shared" si="29"/>
        <v>23545.05</v>
      </c>
      <c r="S243" s="322">
        <f t="shared" si="30"/>
        <v>-94488.982824776846</v>
      </c>
      <c r="T243" s="323">
        <f t="shared" si="35"/>
        <v>-70943.932824776843</v>
      </c>
    </row>
    <row r="244" spans="1:20" x14ac:dyDescent="0.25">
      <c r="A244" s="148">
        <f>Données!A244</f>
        <v>5821</v>
      </c>
      <c r="B244" s="160" t="str">
        <f>Données!B244</f>
        <v>Missy</v>
      </c>
      <c r="C244" s="321">
        <f>Données!C244</f>
        <v>384</v>
      </c>
      <c r="D244" s="318">
        <f>RFS!W244</f>
        <v>699860.64607777214</v>
      </c>
      <c r="E244" s="336"/>
      <c r="F244" s="342">
        <f t="shared" si="27"/>
        <v>1822.5537658275316</v>
      </c>
      <c r="G244" s="336">
        <f t="shared" si="31"/>
        <v>-1517.8608965953108</v>
      </c>
      <c r="H244" s="343">
        <f t="shared" si="28"/>
        <v>-466286.86743407953</v>
      </c>
      <c r="I244" s="313"/>
      <c r="J244" s="344">
        <f t="shared" si="32"/>
        <v>3036.8424831037801</v>
      </c>
      <c r="K244" s="344">
        <f t="shared" si="33"/>
        <v>0</v>
      </c>
      <c r="L244" s="343">
        <f t="shared" si="34"/>
        <v>0</v>
      </c>
      <c r="M244" s="336"/>
      <c r="N244" s="345">
        <f>Données!S244</f>
        <v>22715</v>
      </c>
      <c r="O244" s="345">
        <f>Données!T244</f>
        <v>72.400000000000006</v>
      </c>
      <c r="P244" s="345">
        <f>Données!U244</f>
        <v>21471.05</v>
      </c>
      <c r="Q244" s="318">
        <f>Données!V244</f>
        <v>0</v>
      </c>
      <c r="R244" s="302">
        <f t="shared" si="29"/>
        <v>22129.224999999999</v>
      </c>
      <c r="S244" s="322">
        <f t="shared" si="30"/>
        <v>-77529.421804945101</v>
      </c>
      <c r="T244" s="323">
        <f t="shared" si="35"/>
        <v>-55400.196804945102</v>
      </c>
    </row>
    <row r="245" spans="1:20" x14ac:dyDescent="0.25">
      <c r="A245" s="148">
        <f>Données!A245</f>
        <v>5822</v>
      </c>
      <c r="B245" s="160" t="str">
        <f>Données!B245</f>
        <v>Payerne</v>
      </c>
      <c r="C245" s="321">
        <f>Données!C245</f>
        <v>10802</v>
      </c>
      <c r="D245" s="318">
        <f>RFS!W245</f>
        <v>17138892.541645598</v>
      </c>
      <c r="E245" s="336"/>
      <c r="F245" s="342">
        <f t="shared" si="27"/>
        <v>1586.6406722501017</v>
      </c>
      <c r="G245" s="336">
        <f t="shared" si="31"/>
        <v>-1753.7739901727407</v>
      </c>
      <c r="H245" s="343">
        <f t="shared" si="28"/>
        <v>-15155413.313476758</v>
      </c>
      <c r="I245" s="313"/>
      <c r="J245" s="344">
        <f t="shared" si="32"/>
        <v>2989.6598643882944</v>
      </c>
      <c r="K245" s="344">
        <f t="shared" si="33"/>
        <v>-16.713331792262125</v>
      </c>
      <c r="L245" s="343">
        <f t="shared" si="34"/>
        <v>-180537</v>
      </c>
      <c r="M245" s="336"/>
      <c r="N245" s="345">
        <f>Données!S245</f>
        <v>1058202.95</v>
      </c>
      <c r="O245" s="345">
        <f>Données!T245</f>
        <v>110511.7</v>
      </c>
      <c r="P245" s="345">
        <f>Données!U245</f>
        <v>604809.44999999995</v>
      </c>
      <c r="Q245" s="318">
        <f>Données!V245</f>
        <v>416377.45</v>
      </c>
      <c r="R245" s="302">
        <f t="shared" si="29"/>
        <v>1011675.2849999999</v>
      </c>
      <c r="S245" s="322">
        <f t="shared" si="30"/>
        <v>-2180918.7873359816</v>
      </c>
      <c r="T245" s="323">
        <f t="shared" si="35"/>
        <v>-1169243.5023359817</v>
      </c>
    </row>
    <row r="246" spans="1:20" x14ac:dyDescent="0.25">
      <c r="A246" s="148">
        <f>Données!A246</f>
        <v>5827</v>
      </c>
      <c r="B246" s="160" t="str">
        <f>Données!B246</f>
        <v>Trey</v>
      </c>
      <c r="C246" s="321">
        <f>Données!C246</f>
        <v>318</v>
      </c>
      <c r="D246" s="318">
        <f>RFS!W246</f>
        <v>592737.03798905038</v>
      </c>
      <c r="E246" s="336"/>
      <c r="F246" s="342">
        <f t="shared" si="27"/>
        <v>1863.9529496511018</v>
      </c>
      <c r="G246" s="336">
        <f t="shared" si="31"/>
        <v>-1476.4617127717406</v>
      </c>
      <c r="H246" s="343">
        <f t="shared" si="28"/>
        <v>-375611.85972913081</v>
      </c>
      <c r="I246" s="313"/>
      <c r="J246" s="344">
        <f t="shared" si="32"/>
        <v>3045.1223198684943</v>
      </c>
      <c r="K246" s="344">
        <f t="shared" si="33"/>
        <v>0</v>
      </c>
      <c r="L246" s="343">
        <f t="shared" si="34"/>
        <v>0</v>
      </c>
      <c r="M246" s="336"/>
      <c r="N246" s="345">
        <f>Données!S246</f>
        <v>20295</v>
      </c>
      <c r="O246" s="345">
        <f>Données!T246</f>
        <v>0</v>
      </c>
      <c r="P246" s="345">
        <f>Données!U246</f>
        <v>29501.45</v>
      </c>
      <c r="Q246" s="318">
        <f>Données!V246</f>
        <v>0</v>
      </c>
      <c r="R246" s="302">
        <f t="shared" si="29"/>
        <v>24898.224999999999</v>
      </c>
      <c r="S246" s="322">
        <f t="shared" si="30"/>
        <v>-64204.05243222016</v>
      </c>
      <c r="T246" s="323">
        <f t="shared" si="35"/>
        <v>-39305.827432220161</v>
      </c>
    </row>
    <row r="247" spans="1:20" x14ac:dyDescent="0.25">
      <c r="A247" s="148">
        <f>Données!A247</f>
        <v>5828</v>
      </c>
      <c r="B247" s="160" t="str">
        <f>Données!B247</f>
        <v>Treytorrens (Payerne)</v>
      </c>
      <c r="C247" s="321">
        <f>Données!C247</f>
        <v>109</v>
      </c>
      <c r="D247" s="318">
        <f>RFS!W247</f>
        <v>192804.00621555615</v>
      </c>
      <c r="E247" s="336"/>
      <c r="F247" s="342">
        <f t="shared" si="27"/>
        <v>1768.8440937206985</v>
      </c>
      <c r="G247" s="336">
        <f t="shared" si="31"/>
        <v>-1571.5705687021439</v>
      </c>
      <c r="H247" s="343">
        <f t="shared" si="28"/>
        <v>-137040.95359082695</v>
      </c>
      <c r="I247" s="313"/>
      <c r="J247" s="344">
        <f t="shared" si="32"/>
        <v>3026.1005486824133</v>
      </c>
      <c r="K247" s="344">
        <f t="shared" si="33"/>
        <v>0</v>
      </c>
      <c r="L247" s="343">
        <f t="shared" si="34"/>
        <v>0</v>
      </c>
      <c r="M247" s="336"/>
      <c r="N247" s="345">
        <f>Données!S247</f>
        <v>5318.05</v>
      </c>
      <c r="O247" s="345">
        <f>Données!T247</f>
        <v>3654.6</v>
      </c>
      <c r="P247" s="345">
        <f>Données!U247</f>
        <v>0</v>
      </c>
      <c r="Q247" s="318">
        <f>Données!V247</f>
        <v>0</v>
      </c>
      <c r="R247" s="302">
        <f t="shared" si="29"/>
        <v>4486.3249999999998</v>
      </c>
      <c r="S247" s="322">
        <f t="shared" si="30"/>
        <v>-22007.049418591188</v>
      </c>
      <c r="T247" s="323">
        <f t="shared" si="35"/>
        <v>-17520.724418591188</v>
      </c>
    </row>
    <row r="248" spans="1:20" x14ac:dyDescent="0.25">
      <c r="A248" s="148">
        <f>Données!A248</f>
        <v>5830</v>
      </c>
      <c r="B248" s="160" t="str">
        <f>Données!B248</f>
        <v>Villarzel</v>
      </c>
      <c r="C248" s="321">
        <f>Données!C248</f>
        <v>524</v>
      </c>
      <c r="D248" s="318">
        <f>RFS!W248</f>
        <v>1021137.5403192724</v>
      </c>
      <c r="E248" s="336"/>
      <c r="F248" s="342">
        <f t="shared" si="27"/>
        <v>1948.7357639680772</v>
      </c>
      <c r="G248" s="336">
        <f t="shared" si="31"/>
        <v>-1391.6788984547652</v>
      </c>
      <c r="H248" s="343">
        <f t="shared" si="28"/>
        <v>-583391.79423223762</v>
      </c>
      <c r="I248" s="313"/>
      <c r="J248" s="344">
        <f t="shared" si="32"/>
        <v>3062.0788827318893</v>
      </c>
      <c r="K248" s="344">
        <f t="shared" si="33"/>
        <v>0</v>
      </c>
      <c r="L248" s="343">
        <f t="shared" si="34"/>
        <v>0</v>
      </c>
      <c r="M248" s="336"/>
      <c r="N248" s="345">
        <f>Données!S248</f>
        <v>65940.350000000006</v>
      </c>
      <c r="O248" s="345">
        <f>Données!T248</f>
        <v>0</v>
      </c>
      <c r="P248" s="345">
        <f>Données!U248</f>
        <v>76701</v>
      </c>
      <c r="Q248" s="318">
        <f>Données!V248</f>
        <v>5814</v>
      </c>
      <c r="R248" s="302">
        <f t="shared" si="29"/>
        <v>73064.875</v>
      </c>
      <c r="S248" s="322">
        <f t="shared" si="30"/>
        <v>-105795.356837998</v>
      </c>
      <c r="T248" s="323">
        <f t="shared" si="35"/>
        <v>-32730.481837997999</v>
      </c>
    </row>
    <row r="249" spans="1:20" x14ac:dyDescent="0.25">
      <c r="A249" s="148">
        <f>Données!A249</f>
        <v>5831</v>
      </c>
      <c r="B249" s="160" t="str">
        <f>Données!B249</f>
        <v>Valbroye</v>
      </c>
      <c r="C249" s="321">
        <f>Données!C249</f>
        <v>3435</v>
      </c>
      <c r="D249" s="318">
        <f>RFS!W249</f>
        <v>5909146.0766498251</v>
      </c>
      <c r="E249" s="336"/>
      <c r="F249" s="342">
        <f t="shared" si="27"/>
        <v>1720.2754226054803</v>
      </c>
      <c r="G249" s="336">
        <f t="shared" si="31"/>
        <v>-1620.1392398173621</v>
      </c>
      <c r="H249" s="343">
        <f t="shared" si="28"/>
        <v>-4452142.6310181115</v>
      </c>
      <c r="I249" s="313"/>
      <c r="J249" s="344">
        <f t="shared" si="32"/>
        <v>3016.3868144593698</v>
      </c>
      <c r="K249" s="344">
        <f t="shared" si="33"/>
        <v>0</v>
      </c>
      <c r="L249" s="343">
        <f t="shared" si="34"/>
        <v>0</v>
      </c>
      <c r="M249" s="336"/>
      <c r="N249" s="345">
        <f>Données!S249</f>
        <v>134544.75</v>
      </c>
      <c r="O249" s="345">
        <f>Données!T249</f>
        <v>13380</v>
      </c>
      <c r="P249" s="345">
        <f>Données!U249</f>
        <v>205191.15</v>
      </c>
      <c r="Q249" s="318">
        <f>Données!V249</f>
        <v>58127</v>
      </c>
      <c r="R249" s="302">
        <f t="shared" si="29"/>
        <v>193996.05000000002</v>
      </c>
      <c r="S249" s="322">
        <f t="shared" si="30"/>
        <v>-693524.90598954796</v>
      </c>
      <c r="T249" s="323">
        <f t="shared" si="35"/>
        <v>-499528.85598954791</v>
      </c>
    </row>
    <row r="250" spans="1:20" x14ac:dyDescent="0.25">
      <c r="A250" s="148">
        <f>Données!A250</f>
        <v>5841</v>
      </c>
      <c r="B250" s="160" t="str">
        <f>Données!B250</f>
        <v>Château-d'Oex</v>
      </c>
      <c r="C250" s="321">
        <f>Données!C250</f>
        <v>3656</v>
      </c>
      <c r="D250" s="318">
        <f>RFS!W250</f>
        <v>8638793.6922445353</v>
      </c>
      <c r="E250" s="336"/>
      <c r="F250" s="342">
        <f t="shared" si="27"/>
        <v>2362.9085591478488</v>
      </c>
      <c r="G250" s="336">
        <f t="shared" si="31"/>
        <v>-977.50610327499362</v>
      </c>
      <c r="H250" s="343">
        <f t="shared" si="28"/>
        <v>-2859009.8508587019</v>
      </c>
      <c r="I250" s="313"/>
      <c r="J250" s="344">
        <f t="shared" si="32"/>
        <v>3144.9134417678438</v>
      </c>
      <c r="K250" s="344">
        <f t="shared" si="33"/>
        <v>0</v>
      </c>
      <c r="L250" s="343">
        <f t="shared" si="34"/>
        <v>0</v>
      </c>
      <c r="M250" s="336"/>
      <c r="N250" s="345">
        <f>Données!S250</f>
        <v>584416.6</v>
      </c>
      <c r="O250" s="345">
        <f>Données!T250</f>
        <v>802206.2</v>
      </c>
      <c r="P250" s="345">
        <f>Données!U250</f>
        <v>331683.95</v>
      </c>
      <c r="Q250" s="318">
        <f>Données!V250</f>
        <v>13252.9</v>
      </c>
      <c r="R250" s="302">
        <f t="shared" si="29"/>
        <v>863129.24499999988</v>
      </c>
      <c r="S250" s="322">
        <f t="shared" si="30"/>
        <v>-738144.70343458152</v>
      </c>
      <c r="T250" s="323">
        <f t="shared" si="35"/>
        <v>124984.54156541836</v>
      </c>
    </row>
    <row r="251" spans="1:20" x14ac:dyDescent="0.25">
      <c r="A251" s="148">
        <f>Données!A251</f>
        <v>5842</v>
      </c>
      <c r="B251" s="160" t="str">
        <f>Données!B251</f>
        <v>Rossinière</v>
      </c>
      <c r="C251" s="321">
        <f>Données!C251</f>
        <v>499</v>
      </c>
      <c r="D251" s="318">
        <f>RFS!W251</f>
        <v>1092092.8672026193</v>
      </c>
      <c r="E251" s="336"/>
      <c r="F251" s="342">
        <f t="shared" si="27"/>
        <v>2188.5628601254898</v>
      </c>
      <c r="G251" s="336">
        <f t="shared" si="31"/>
        <v>-1151.8518022973526</v>
      </c>
      <c r="H251" s="343">
        <f t="shared" si="28"/>
        <v>-459819.23947710317</v>
      </c>
      <c r="I251" s="313"/>
      <c r="J251" s="344">
        <f t="shared" si="32"/>
        <v>3110.0443019633722</v>
      </c>
      <c r="K251" s="344">
        <f t="shared" si="33"/>
        <v>0</v>
      </c>
      <c r="L251" s="343">
        <f t="shared" si="34"/>
        <v>0</v>
      </c>
      <c r="M251" s="336"/>
      <c r="N251" s="345">
        <f>Données!S251</f>
        <v>30360</v>
      </c>
      <c r="O251" s="345">
        <f>Données!T251</f>
        <v>49395.699999999953</v>
      </c>
      <c r="P251" s="345">
        <f>Données!U251</f>
        <v>74119.3</v>
      </c>
      <c r="Q251" s="318">
        <f>Données!V251</f>
        <v>799</v>
      </c>
      <c r="R251" s="302">
        <f t="shared" si="29"/>
        <v>77177.199999999968</v>
      </c>
      <c r="S251" s="322">
        <f t="shared" si="30"/>
        <v>-100747.86843923856</v>
      </c>
      <c r="T251" s="323">
        <f t="shared" si="35"/>
        <v>-23570.668439238594</v>
      </c>
    </row>
    <row r="252" spans="1:20" x14ac:dyDescent="0.25">
      <c r="A252" s="148">
        <f>Données!A252</f>
        <v>5843</v>
      </c>
      <c r="B252" s="160" t="str">
        <f>Données!B252</f>
        <v>Rougemont</v>
      </c>
      <c r="C252" s="321">
        <f>Données!C252</f>
        <v>812</v>
      </c>
      <c r="D252" s="318">
        <f>RFS!W252</f>
        <v>6030846.5828330787</v>
      </c>
      <c r="E252" s="336"/>
      <c r="F252" s="342">
        <f t="shared" si="27"/>
        <v>7427.150964080146</v>
      </c>
      <c r="G252" s="336">
        <f t="shared" si="31"/>
        <v>4086.7363016573036</v>
      </c>
      <c r="H252" s="343">
        <f t="shared" si="28"/>
        <v>2654743.9015565845</v>
      </c>
      <c r="I252" s="313"/>
      <c r="J252" s="344">
        <f t="shared" si="32"/>
        <v>4157.7619227543028</v>
      </c>
      <c r="K252" s="344">
        <f t="shared" si="33"/>
        <v>0</v>
      </c>
      <c r="L252" s="343">
        <f t="shared" si="34"/>
        <v>0</v>
      </c>
      <c r="M252" s="336"/>
      <c r="N252" s="345">
        <f>Données!S252</f>
        <v>447452.15</v>
      </c>
      <c r="O252" s="345">
        <f>Données!T252</f>
        <v>340544.7</v>
      </c>
      <c r="P252" s="345">
        <f>Données!U252</f>
        <v>559535.25</v>
      </c>
      <c r="Q252" s="318">
        <f>Données!V252</f>
        <v>8243.65</v>
      </c>
      <c r="R252" s="302">
        <f t="shared" si="29"/>
        <v>676239.14500000002</v>
      </c>
      <c r="S252" s="322">
        <f t="shared" si="30"/>
        <v>-163942.42319170682</v>
      </c>
      <c r="T252" s="323">
        <f t="shared" si="35"/>
        <v>512296.72180829319</v>
      </c>
    </row>
    <row r="253" spans="1:20" x14ac:dyDescent="0.25">
      <c r="A253" s="148">
        <f>Données!A253</f>
        <v>5851</v>
      </c>
      <c r="B253" s="160" t="str">
        <f>Données!B253</f>
        <v>Allaman</v>
      </c>
      <c r="C253" s="321">
        <f>Données!C253</f>
        <v>430</v>
      </c>
      <c r="D253" s="318">
        <f>RFS!W253</f>
        <v>1861918.4175859876</v>
      </c>
      <c r="E253" s="336"/>
      <c r="F253" s="342">
        <f t="shared" si="27"/>
        <v>4330.0428315953204</v>
      </c>
      <c r="G253" s="336">
        <f t="shared" si="31"/>
        <v>989.62816917247801</v>
      </c>
      <c r="H253" s="343">
        <f t="shared" si="28"/>
        <v>340432.09019533248</v>
      </c>
      <c r="I253" s="313"/>
      <c r="J253" s="344">
        <f t="shared" si="32"/>
        <v>3538.3402962573382</v>
      </c>
      <c r="K253" s="344">
        <f t="shared" si="33"/>
        <v>0</v>
      </c>
      <c r="L253" s="343">
        <f t="shared" si="34"/>
        <v>0</v>
      </c>
      <c r="M253" s="336"/>
      <c r="N253" s="345">
        <f>Données!S253</f>
        <v>13500.1</v>
      </c>
      <c r="O253" s="345">
        <f>Données!T253</f>
        <v>20693.2</v>
      </c>
      <c r="P253" s="345">
        <f>Données!U253</f>
        <v>39533</v>
      </c>
      <c r="Q253" s="318">
        <f>Données!V253</f>
        <v>39895.1</v>
      </c>
      <c r="R253" s="302">
        <f t="shared" si="29"/>
        <v>48831.68</v>
      </c>
      <c r="S253" s="322">
        <f t="shared" si="30"/>
        <v>-86816.800458662488</v>
      </c>
      <c r="T253" s="323">
        <f t="shared" si="35"/>
        <v>-37985.120458662488</v>
      </c>
    </row>
    <row r="254" spans="1:20" x14ac:dyDescent="0.25">
      <c r="A254" s="148">
        <f>Données!A254</f>
        <v>5852</v>
      </c>
      <c r="B254" s="160" t="str">
        <f>Données!B254</f>
        <v>Bursinel</v>
      </c>
      <c r="C254" s="321">
        <f>Données!C254</f>
        <v>530</v>
      </c>
      <c r="D254" s="318">
        <f>RFS!W254</f>
        <v>2883169.6403883542</v>
      </c>
      <c r="E254" s="336"/>
      <c r="F254" s="342">
        <f t="shared" si="27"/>
        <v>5439.9427177138759</v>
      </c>
      <c r="G254" s="336">
        <f t="shared" si="31"/>
        <v>2099.5280552910335</v>
      </c>
      <c r="H254" s="343">
        <f t="shared" si="28"/>
        <v>890199.89544339827</v>
      </c>
      <c r="I254" s="313"/>
      <c r="J254" s="344">
        <f t="shared" si="32"/>
        <v>3760.3202734810493</v>
      </c>
      <c r="K254" s="344">
        <f t="shared" si="33"/>
        <v>0</v>
      </c>
      <c r="L254" s="343">
        <f t="shared" si="34"/>
        <v>0</v>
      </c>
      <c r="M254" s="336"/>
      <c r="N254" s="345">
        <f>Données!S254</f>
        <v>44660</v>
      </c>
      <c r="O254" s="345">
        <f>Données!T254</f>
        <v>0</v>
      </c>
      <c r="P254" s="345">
        <f>Données!U254</f>
        <v>89880.5</v>
      </c>
      <c r="Q254" s="318">
        <f>Données!V254</f>
        <v>10546.7</v>
      </c>
      <c r="R254" s="302">
        <f t="shared" si="29"/>
        <v>70434.259999999995</v>
      </c>
      <c r="S254" s="322">
        <f t="shared" si="30"/>
        <v>-107006.75405370026</v>
      </c>
      <c r="T254" s="323">
        <f t="shared" si="35"/>
        <v>-36572.494053700269</v>
      </c>
    </row>
    <row r="255" spans="1:20" x14ac:dyDescent="0.25">
      <c r="A255" s="148">
        <f>Données!A255</f>
        <v>5853</v>
      </c>
      <c r="B255" s="160" t="str">
        <f>Données!B255</f>
        <v>Bursins</v>
      </c>
      <c r="C255" s="321">
        <f>Données!C255</f>
        <v>825</v>
      </c>
      <c r="D255" s="318">
        <f>RFS!W255</f>
        <v>3050744.9609065144</v>
      </c>
      <c r="E255" s="336"/>
      <c r="F255" s="342">
        <f t="shared" si="27"/>
        <v>3697.8726798866842</v>
      </c>
      <c r="G255" s="336">
        <f t="shared" si="31"/>
        <v>357.45801746384177</v>
      </c>
      <c r="H255" s="343">
        <f t="shared" si="28"/>
        <v>235922.29152613561</v>
      </c>
      <c r="I255" s="313"/>
      <c r="J255" s="344">
        <f t="shared" si="32"/>
        <v>3411.9062659156107</v>
      </c>
      <c r="K255" s="344">
        <f t="shared" si="33"/>
        <v>0</v>
      </c>
      <c r="L255" s="343">
        <f t="shared" si="34"/>
        <v>0</v>
      </c>
      <c r="M255" s="336"/>
      <c r="N255" s="345">
        <f>Données!S255</f>
        <v>57269.95</v>
      </c>
      <c r="O255" s="345">
        <f>Données!T255</f>
        <v>46.3</v>
      </c>
      <c r="P255" s="345">
        <f>Données!U255</f>
        <v>48912.4</v>
      </c>
      <c r="Q255" s="318">
        <f>Données!V255</f>
        <v>113758.2</v>
      </c>
      <c r="R255" s="302">
        <f t="shared" si="29"/>
        <v>87241.785000000003</v>
      </c>
      <c r="S255" s="322">
        <f t="shared" si="30"/>
        <v>-166567.11715906175</v>
      </c>
      <c r="T255" s="323">
        <f t="shared" si="35"/>
        <v>-79325.332159061742</v>
      </c>
    </row>
    <row r="256" spans="1:20" x14ac:dyDescent="0.25">
      <c r="A256" s="148">
        <f>Données!A256</f>
        <v>5854</v>
      </c>
      <c r="B256" s="160" t="str">
        <f>Données!B256</f>
        <v>Burtigny</v>
      </c>
      <c r="C256" s="321">
        <f>Données!C256</f>
        <v>401</v>
      </c>
      <c r="D256" s="318">
        <f>RFS!W256</f>
        <v>1131504.7706177402</v>
      </c>
      <c r="E256" s="336"/>
      <c r="F256" s="342">
        <f t="shared" si="27"/>
        <v>2821.7076574008483</v>
      </c>
      <c r="G256" s="336">
        <f t="shared" si="31"/>
        <v>-518.70700502199406</v>
      </c>
      <c r="H256" s="343">
        <f t="shared" si="28"/>
        <v>-166401.20721105571</v>
      </c>
      <c r="I256" s="313"/>
      <c r="J256" s="344">
        <f t="shared" si="32"/>
        <v>3236.6732614184439</v>
      </c>
      <c r="K256" s="344">
        <f t="shared" si="33"/>
        <v>0</v>
      </c>
      <c r="L256" s="343">
        <f t="shared" si="34"/>
        <v>0</v>
      </c>
      <c r="M256" s="336"/>
      <c r="N256" s="345">
        <f>Données!S256</f>
        <v>21092</v>
      </c>
      <c r="O256" s="345">
        <f>Données!T256</f>
        <v>92703.1</v>
      </c>
      <c r="P256" s="345">
        <f>Données!U256</f>
        <v>34787.15</v>
      </c>
      <c r="Q256" s="318">
        <f>Données!V256</f>
        <v>13386.75</v>
      </c>
      <c r="R256" s="302">
        <f t="shared" si="29"/>
        <v>78307.149999999994</v>
      </c>
      <c r="S256" s="322">
        <f t="shared" si="30"/>
        <v>-80961.713916101522</v>
      </c>
      <c r="T256" s="323">
        <f t="shared" si="35"/>
        <v>-2654.5639161015279</v>
      </c>
    </row>
    <row r="257" spans="1:20" x14ac:dyDescent="0.25">
      <c r="A257" s="148">
        <f>Données!A257</f>
        <v>5855</v>
      </c>
      <c r="B257" s="160" t="str">
        <f>Données!B257</f>
        <v>Dully</v>
      </c>
      <c r="C257" s="321">
        <f>Données!C257</f>
        <v>623</v>
      </c>
      <c r="D257" s="318">
        <f>RFS!W257</f>
        <v>6546009.1843069745</v>
      </c>
      <c r="E257" s="336"/>
      <c r="F257" s="342">
        <f t="shared" si="27"/>
        <v>10507.237856030457</v>
      </c>
      <c r="G257" s="336">
        <f t="shared" si="31"/>
        <v>7166.8231936076145</v>
      </c>
      <c r="H257" s="343">
        <f t="shared" si="28"/>
        <v>3571944.6796940356</v>
      </c>
      <c r="I257" s="313"/>
      <c r="J257" s="344">
        <f t="shared" si="32"/>
        <v>4773.7793011443646</v>
      </c>
      <c r="K257" s="344">
        <f t="shared" si="33"/>
        <v>0</v>
      </c>
      <c r="L257" s="343">
        <f t="shared" si="34"/>
        <v>0</v>
      </c>
      <c r="M257" s="336"/>
      <c r="N257" s="345">
        <f>Données!S257</f>
        <v>184267.25</v>
      </c>
      <c r="O257" s="345">
        <f>Données!T257</f>
        <v>2079</v>
      </c>
      <c r="P257" s="345">
        <f>Données!U257</f>
        <v>-86462.45</v>
      </c>
      <c r="Q257" s="318">
        <f>Données!V257</f>
        <v>8003.75</v>
      </c>
      <c r="R257" s="302">
        <f t="shared" si="29"/>
        <v>52343.025000000001</v>
      </c>
      <c r="S257" s="322">
        <f t="shared" si="30"/>
        <v>-125783.41089708541</v>
      </c>
      <c r="T257" s="323">
        <f t="shared" si="35"/>
        <v>-73440.38589708542</v>
      </c>
    </row>
    <row r="258" spans="1:20" x14ac:dyDescent="0.25">
      <c r="A258" s="148">
        <f>Données!A258</f>
        <v>5856</v>
      </c>
      <c r="B258" s="160" t="str">
        <f>Données!B258</f>
        <v>Essertines-sur-Rolle</v>
      </c>
      <c r="C258" s="321">
        <f>Données!C258</f>
        <v>789</v>
      </c>
      <c r="D258" s="318">
        <f>RFS!W258</f>
        <v>2461365.8861504006</v>
      </c>
      <c r="E258" s="336"/>
      <c r="F258" s="342">
        <f t="shared" si="27"/>
        <v>3119.6018835873265</v>
      </c>
      <c r="G258" s="336">
        <f t="shared" si="31"/>
        <v>-220.81277883551593</v>
      </c>
      <c r="H258" s="343">
        <f t="shared" si="28"/>
        <v>-139377.02600097767</v>
      </c>
      <c r="I258" s="313"/>
      <c r="J258" s="344">
        <f t="shared" si="32"/>
        <v>3296.2521066557392</v>
      </c>
      <c r="K258" s="344">
        <f t="shared" si="33"/>
        <v>0</v>
      </c>
      <c r="L258" s="343">
        <f t="shared" si="34"/>
        <v>0</v>
      </c>
      <c r="M258" s="336"/>
      <c r="N258" s="345">
        <f>Données!S258</f>
        <v>41040.1</v>
      </c>
      <c r="O258" s="345">
        <f>Données!T258</f>
        <v>7600.5</v>
      </c>
      <c r="P258" s="345">
        <f>Données!U258</f>
        <v>245667.55</v>
      </c>
      <c r="Q258" s="318">
        <f>Données!V258</f>
        <v>1523.1</v>
      </c>
      <c r="R258" s="302">
        <f t="shared" si="29"/>
        <v>147611.00499999998</v>
      </c>
      <c r="S258" s="322">
        <f t="shared" si="30"/>
        <v>-159298.73386484812</v>
      </c>
      <c r="T258" s="323">
        <f t="shared" si="35"/>
        <v>-11687.728864848148</v>
      </c>
    </row>
    <row r="259" spans="1:20" x14ac:dyDescent="0.25">
      <c r="A259" s="148">
        <f>Données!A259</f>
        <v>5857</v>
      </c>
      <c r="B259" s="160" t="str">
        <f>Données!B259</f>
        <v>Gilly</v>
      </c>
      <c r="C259" s="321">
        <f>Données!C259</f>
        <v>1441</v>
      </c>
      <c r="D259" s="318">
        <f>RFS!W259</f>
        <v>6497261.1200820729</v>
      </c>
      <c r="E259" s="336"/>
      <c r="F259" s="342">
        <f t="shared" si="27"/>
        <v>4508.855739127046</v>
      </c>
      <c r="G259" s="336">
        <f t="shared" si="31"/>
        <v>1168.4410767042036</v>
      </c>
      <c r="H259" s="343">
        <f t="shared" si="28"/>
        <v>1346978.873224606</v>
      </c>
      <c r="I259" s="313"/>
      <c r="J259" s="344">
        <f t="shared" si="32"/>
        <v>3574.102877763683</v>
      </c>
      <c r="K259" s="344">
        <f t="shared" si="33"/>
        <v>0</v>
      </c>
      <c r="L259" s="343">
        <f t="shared" si="34"/>
        <v>0</v>
      </c>
      <c r="M259" s="336"/>
      <c r="N259" s="345">
        <f>Données!S259</f>
        <v>112919.1</v>
      </c>
      <c r="O259" s="345">
        <f>Données!T259</f>
        <v>0</v>
      </c>
      <c r="P259" s="345">
        <f>Données!U259</f>
        <v>308619.05</v>
      </c>
      <c r="Q259" s="318">
        <f>Données!V259</f>
        <v>87820.800000000003</v>
      </c>
      <c r="R259" s="302">
        <f t="shared" si="29"/>
        <v>237115.315</v>
      </c>
      <c r="S259" s="322">
        <f t="shared" si="30"/>
        <v>-290937.23130449449</v>
      </c>
      <c r="T259" s="323">
        <f t="shared" si="35"/>
        <v>-53821.916304494487</v>
      </c>
    </row>
    <row r="260" spans="1:20" x14ac:dyDescent="0.25">
      <c r="A260" s="148">
        <f>Données!A260</f>
        <v>5858</v>
      </c>
      <c r="B260" s="160" t="str">
        <f>Données!B260</f>
        <v>Luins</v>
      </c>
      <c r="C260" s="321">
        <f>Données!C260</f>
        <v>637</v>
      </c>
      <c r="D260" s="318">
        <f>RFS!W260</f>
        <v>2746254.8479400035</v>
      </c>
      <c r="E260" s="336"/>
      <c r="F260" s="342">
        <f t="shared" si="27"/>
        <v>4311.232100376772</v>
      </c>
      <c r="G260" s="336">
        <f t="shared" si="31"/>
        <v>970.81743795392958</v>
      </c>
      <c r="H260" s="343">
        <f t="shared" si="28"/>
        <v>494728.56638132257</v>
      </c>
      <c r="I260" s="313"/>
      <c r="J260" s="344">
        <f t="shared" si="32"/>
        <v>3534.5781500136281</v>
      </c>
      <c r="K260" s="344">
        <f t="shared" si="33"/>
        <v>0</v>
      </c>
      <c r="L260" s="343">
        <f t="shared" si="34"/>
        <v>0</v>
      </c>
      <c r="M260" s="336"/>
      <c r="N260" s="345">
        <f>Données!S260</f>
        <v>27031.45</v>
      </c>
      <c r="O260" s="345">
        <f>Données!T260</f>
        <v>1253.7</v>
      </c>
      <c r="P260" s="345">
        <f>Données!U260</f>
        <v>43800.35</v>
      </c>
      <c r="Q260" s="318">
        <f>Données!V260</f>
        <v>7004.8</v>
      </c>
      <c r="R260" s="302">
        <f t="shared" si="29"/>
        <v>38144.19</v>
      </c>
      <c r="S260" s="322">
        <f t="shared" si="30"/>
        <v>-128610.0044003907</v>
      </c>
      <c r="T260" s="323">
        <f t="shared" si="35"/>
        <v>-90465.814400390693</v>
      </c>
    </row>
    <row r="261" spans="1:20" x14ac:dyDescent="0.25">
      <c r="A261" s="148">
        <f>Données!A261</f>
        <v>5859</v>
      </c>
      <c r="B261" s="160" t="str">
        <f>Données!B261</f>
        <v>Mont-sur-Rolle</v>
      </c>
      <c r="C261" s="321">
        <f>Données!C261</f>
        <v>2749</v>
      </c>
      <c r="D261" s="318">
        <f>RFS!W261</f>
        <v>11763815.227566715</v>
      </c>
      <c r="E261" s="336"/>
      <c r="F261" s="342">
        <f t="shared" si="27"/>
        <v>4279.3071035164476</v>
      </c>
      <c r="G261" s="336">
        <f t="shared" si="31"/>
        <v>938.89244109360516</v>
      </c>
      <c r="H261" s="343">
        <f t="shared" si="28"/>
        <v>2064812.2564530566</v>
      </c>
      <c r="I261" s="313"/>
      <c r="J261" s="344">
        <f t="shared" si="32"/>
        <v>3528.1931506415635</v>
      </c>
      <c r="K261" s="344">
        <f t="shared" si="33"/>
        <v>0</v>
      </c>
      <c r="L261" s="343">
        <f t="shared" si="34"/>
        <v>0</v>
      </c>
      <c r="M261" s="336"/>
      <c r="N261" s="345">
        <f>Données!S261</f>
        <v>255934.25</v>
      </c>
      <c r="O261" s="345">
        <f>Données!T261</f>
        <v>604304.19999999995</v>
      </c>
      <c r="P261" s="345">
        <f>Données!U261</f>
        <v>304991.90000000002</v>
      </c>
      <c r="Q261" s="318">
        <f>Données!V261</f>
        <v>86160.35</v>
      </c>
      <c r="R261" s="302">
        <f t="shared" si="29"/>
        <v>608463.28</v>
      </c>
      <c r="S261" s="322">
        <f t="shared" si="30"/>
        <v>-555021.82432758878</v>
      </c>
      <c r="T261" s="323">
        <f t="shared" si="35"/>
        <v>53441.455672411248</v>
      </c>
    </row>
    <row r="262" spans="1:20" x14ac:dyDescent="0.25">
      <c r="A262" s="148">
        <f>Données!A262</f>
        <v>5860</v>
      </c>
      <c r="B262" s="160" t="str">
        <f>Données!B262</f>
        <v>Perroy</v>
      </c>
      <c r="C262" s="321">
        <f>Données!C262</f>
        <v>1588</v>
      </c>
      <c r="D262" s="318">
        <f>RFS!W262</f>
        <v>7653025.3860274041</v>
      </c>
      <c r="E262" s="336"/>
      <c r="F262" s="342">
        <f t="shared" si="27"/>
        <v>4819.2855075739317</v>
      </c>
      <c r="G262" s="336">
        <f t="shared" si="31"/>
        <v>1478.8708451510893</v>
      </c>
      <c r="H262" s="343">
        <f t="shared" si="28"/>
        <v>1878757.5216799439</v>
      </c>
      <c r="I262" s="313"/>
      <c r="J262" s="344">
        <f t="shared" si="32"/>
        <v>3636.1888314530602</v>
      </c>
      <c r="K262" s="344">
        <f t="shared" si="33"/>
        <v>0</v>
      </c>
      <c r="L262" s="343">
        <f t="shared" si="34"/>
        <v>0</v>
      </c>
      <c r="M262" s="336"/>
      <c r="N262" s="345">
        <f>Données!S262</f>
        <v>253676</v>
      </c>
      <c r="O262" s="345">
        <f>Données!T262</f>
        <v>65771.399999999994</v>
      </c>
      <c r="P262" s="345">
        <f>Données!U262</f>
        <v>204006.2</v>
      </c>
      <c r="Q262" s="318">
        <f>Données!V262</f>
        <v>40716.400000000001</v>
      </c>
      <c r="R262" s="302">
        <f t="shared" si="29"/>
        <v>273941.72000000003</v>
      </c>
      <c r="S262" s="322">
        <f t="shared" si="30"/>
        <v>-320616.46308920003</v>
      </c>
      <c r="T262" s="323">
        <f t="shared" si="35"/>
        <v>-46674.743089199997</v>
      </c>
    </row>
    <row r="263" spans="1:20" x14ac:dyDescent="0.25">
      <c r="A263" s="148">
        <f>Données!A263</f>
        <v>5861</v>
      </c>
      <c r="B263" s="160" t="str">
        <f>Données!B263</f>
        <v>Rolle</v>
      </c>
      <c r="C263" s="321">
        <f>Données!C263</f>
        <v>6537</v>
      </c>
      <c r="D263" s="318">
        <f>RFS!W263</f>
        <v>62631561.648520805</v>
      </c>
      <c r="E263" s="336"/>
      <c r="F263" s="342">
        <f t="shared" si="27"/>
        <v>9581.0863773169349</v>
      </c>
      <c r="G263" s="336">
        <f t="shared" si="31"/>
        <v>6240.6717148940925</v>
      </c>
      <c r="H263" s="343">
        <f t="shared" si="28"/>
        <v>32636216.800210144</v>
      </c>
      <c r="I263" s="313"/>
      <c r="J263" s="344">
        <f t="shared" si="32"/>
        <v>4588.5490054016609</v>
      </c>
      <c r="K263" s="344">
        <f t="shared" si="33"/>
        <v>0</v>
      </c>
      <c r="L263" s="343">
        <f t="shared" si="34"/>
        <v>0</v>
      </c>
      <c r="M263" s="336"/>
      <c r="N263" s="345">
        <f>Données!S263</f>
        <v>865992.15</v>
      </c>
      <c r="O263" s="345">
        <f>Données!T263</f>
        <v>652923.4</v>
      </c>
      <c r="P263" s="345">
        <f>Données!U263</f>
        <v>984624.25</v>
      </c>
      <c r="Q263" s="318">
        <f>Données!V263</f>
        <v>582526.80000000005</v>
      </c>
      <c r="R263" s="302">
        <f t="shared" si="29"/>
        <v>1426527.94</v>
      </c>
      <c r="S263" s="322">
        <f t="shared" si="30"/>
        <v>-1319817.2665076202</v>
      </c>
      <c r="T263" s="323">
        <f t="shared" si="35"/>
        <v>106710.67349237972</v>
      </c>
    </row>
    <row r="264" spans="1:20" x14ac:dyDescent="0.25">
      <c r="A264" s="148">
        <f>Données!A264</f>
        <v>5862</v>
      </c>
      <c r="B264" s="160" t="str">
        <f>Données!B264</f>
        <v>Tartegnin</v>
      </c>
      <c r="C264" s="321">
        <f>Données!C264</f>
        <v>238</v>
      </c>
      <c r="D264" s="318">
        <f>RFS!W264</f>
        <v>855661.93400814093</v>
      </c>
      <c r="E264" s="336"/>
      <c r="F264" s="342">
        <f t="shared" ref="F264:F307" si="36">D264/C264</f>
        <v>3595.2182101182393</v>
      </c>
      <c r="G264" s="336">
        <f t="shared" si="31"/>
        <v>254.8035476953969</v>
      </c>
      <c r="H264" s="343">
        <f t="shared" ref="H264:H307" si="37">G264*$G$6*C264</f>
        <v>48514.595481203571</v>
      </c>
      <c r="I264" s="313"/>
      <c r="J264" s="344">
        <f t="shared" si="32"/>
        <v>3391.3753719619217</v>
      </c>
      <c r="K264" s="344">
        <f t="shared" si="33"/>
        <v>0</v>
      </c>
      <c r="L264" s="343">
        <f t="shared" si="34"/>
        <v>0</v>
      </c>
      <c r="M264" s="336"/>
      <c r="N264" s="345">
        <f>Données!S264</f>
        <v>25465</v>
      </c>
      <c r="O264" s="345">
        <f>Données!T264</f>
        <v>2188.6</v>
      </c>
      <c r="P264" s="345">
        <f>Données!U264</f>
        <v>0</v>
      </c>
      <c r="Q264" s="318">
        <f>Données!V264</f>
        <v>10598.85</v>
      </c>
      <c r="R264" s="302">
        <f t="shared" ref="R264:R307" si="38">SUMPRODUCT($N$6:$Q$6,N264:Q264)</f>
        <v>17006.454999999998</v>
      </c>
      <c r="S264" s="322">
        <f t="shared" ref="S264:S307" si="39">-($R$308-$S$6)/$C$308*C264</f>
        <v>-48052.089556189931</v>
      </c>
      <c r="T264" s="323">
        <f t="shared" si="35"/>
        <v>-31045.634556189932</v>
      </c>
    </row>
    <row r="265" spans="1:20" x14ac:dyDescent="0.25">
      <c r="A265" s="148">
        <f>Données!A265</f>
        <v>5863</v>
      </c>
      <c r="B265" s="160" t="str">
        <f>Données!B265</f>
        <v>Vinzel</v>
      </c>
      <c r="C265" s="321">
        <f>Données!C265</f>
        <v>387</v>
      </c>
      <c r="D265" s="318">
        <f>RFS!W265</f>
        <v>1354243.3499334285</v>
      </c>
      <c r="E265" s="336"/>
      <c r="F265" s="342">
        <f t="shared" si="36"/>
        <v>3499.3368215334067</v>
      </c>
      <c r="G265" s="336">
        <f t="shared" ref="G265:G307" si="40">F265-$F$308</f>
        <v>158.92215911056428</v>
      </c>
      <c r="H265" s="343">
        <f t="shared" si="37"/>
        <v>49202.3004606307</v>
      </c>
      <c r="I265" s="313"/>
      <c r="J265" s="344">
        <f t="shared" ref="J265:J307" si="41">F265-H265/C265</f>
        <v>3372.1990942449552</v>
      </c>
      <c r="K265" s="344">
        <f t="shared" ref="K265:K307" si="42">IF(J265&lt;$K$6,J265-($K$6),0)</f>
        <v>0</v>
      </c>
      <c r="L265" s="343">
        <f t="shared" ref="L265:L307" si="43">ROUND(K265*C265,0)</f>
        <v>0</v>
      </c>
      <c r="M265" s="336"/>
      <c r="N265" s="345">
        <f>Données!S265</f>
        <v>32442.6</v>
      </c>
      <c r="O265" s="345">
        <f>Données!T265</f>
        <v>11179.1</v>
      </c>
      <c r="P265" s="345">
        <f>Données!U265</f>
        <v>59564.15</v>
      </c>
      <c r="Q265" s="318">
        <f>Données!V265</f>
        <v>20613.25</v>
      </c>
      <c r="R265" s="302">
        <f t="shared" si="38"/>
        <v>57776.9</v>
      </c>
      <c r="S265" s="322">
        <f t="shared" si="39"/>
        <v>-78135.120412796241</v>
      </c>
      <c r="T265" s="323">
        <f t="shared" ref="T265:T307" si="44">R265+S265</f>
        <v>-20358.22041279624</v>
      </c>
    </row>
    <row r="266" spans="1:20" x14ac:dyDescent="0.25">
      <c r="A266" s="148">
        <f>Données!A266</f>
        <v>5871</v>
      </c>
      <c r="B266" s="160" t="str">
        <f>Données!B266</f>
        <v>L'Abbaye</v>
      </c>
      <c r="C266" s="321">
        <f>Données!C266</f>
        <v>1538</v>
      </c>
      <c r="D266" s="318">
        <f>RFS!W266</f>
        <v>3422457.6811338724</v>
      </c>
      <c r="E266" s="336"/>
      <c r="F266" s="342">
        <f t="shared" si="36"/>
        <v>2225.2650722586945</v>
      </c>
      <c r="G266" s="336">
        <f t="shared" si="40"/>
        <v>-1115.1495901641479</v>
      </c>
      <c r="H266" s="343">
        <f t="shared" si="37"/>
        <v>-1372080.0557379676</v>
      </c>
      <c r="I266" s="313"/>
      <c r="J266" s="344">
        <f t="shared" si="41"/>
        <v>3117.3847443900131</v>
      </c>
      <c r="K266" s="344">
        <f t="shared" si="42"/>
        <v>0</v>
      </c>
      <c r="L266" s="343">
        <f t="shared" si="43"/>
        <v>0</v>
      </c>
      <c r="M266" s="336"/>
      <c r="N266" s="345">
        <f>Données!S266</f>
        <v>127553.3</v>
      </c>
      <c r="O266" s="345">
        <f>Données!T266</f>
        <v>54676.3</v>
      </c>
      <c r="P266" s="345">
        <f>Données!U266</f>
        <v>113006.95</v>
      </c>
      <c r="Q266" s="318">
        <f>Données!V266</f>
        <v>701183.25</v>
      </c>
      <c r="R266" s="302">
        <f t="shared" si="38"/>
        <v>357973.25</v>
      </c>
      <c r="S266" s="322">
        <f t="shared" si="39"/>
        <v>-310521.48629168118</v>
      </c>
      <c r="T266" s="323">
        <f t="shared" si="44"/>
        <v>47451.763708318816</v>
      </c>
    </row>
    <row r="267" spans="1:20" x14ac:dyDescent="0.25">
      <c r="A267" s="148">
        <f>Données!A267</f>
        <v>5872</v>
      </c>
      <c r="B267" s="160" t="str">
        <f>Données!B267</f>
        <v>Le Chenit</v>
      </c>
      <c r="C267" s="321">
        <f>Données!C267</f>
        <v>4760</v>
      </c>
      <c r="D267" s="318">
        <f>RFS!W267</f>
        <v>24261128.219457585</v>
      </c>
      <c r="E267" s="336"/>
      <c r="F267" s="342">
        <f t="shared" si="36"/>
        <v>5096.8756763566353</v>
      </c>
      <c r="G267" s="336">
        <f t="shared" si="40"/>
        <v>1756.4610139337929</v>
      </c>
      <c r="H267" s="343">
        <f t="shared" si="37"/>
        <v>6688603.5410598833</v>
      </c>
      <c r="I267" s="313"/>
      <c r="J267" s="344">
        <f t="shared" si="41"/>
        <v>3691.7068652096009</v>
      </c>
      <c r="K267" s="344">
        <f t="shared" si="42"/>
        <v>0</v>
      </c>
      <c r="L267" s="343">
        <f t="shared" si="43"/>
        <v>0</v>
      </c>
      <c r="M267" s="336"/>
      <c r="N267" s="345">
        <f>Données!S267</f>
        <v>420682.25</v>
      </c>
      <c r="O267" s="345">
        <f>Données!T267</f>
        <v>295038.7</v>
      </c>
      <c r="P267" s="345">
        <f>Données!U267</f>
        <v>178632.2</v>
      </c>
      <c r="Q267" s="318">
        <f>Données!V267</f>
        <v>6670500.4500000002</v>
      </c>
      <c r="R267" s="302">
        <f t="shared" si="38"/>
        <v>2448326.71</v>
      </c>
      <c r="S267" s="322">
        <f t="shared" si="39"/>
        <v>-961041.7911237987</v>
      </c>
      <c r="T267" s="323">
        <f t="shared" si="44"/>
        <v>1487284.9188762014</v>
      </c>
    </row>
    <row r="268" spans="1:20" x14ac:dyDescent="0.25">
      <c r="A268" s="148">
        <f>Données!A268</f>
        <v>5873</v>
      </c>
      <c r="B268" s="160" t="str">
        <f>Données!B268</f>
        <v>Le Lieu</v>
      </c>
      <c r="C268" s="321">
        <f>Données!C268</f>
        <v>925</v>
      </c>
      <c r="D268" s="318">
        <f>RFS!W268</f>
        <v>2134552.865660049</v>
      </c>
      <c r="E268" s="336"/>
      <c r="F268" s="342">
        <f t="shared" si="36"/>
        <v>2307.6247196324853</v>
      </c>
      <c r="G268" s="336">
        <f t="shared" si="40"/>
        <v>-1032.7899427903571</v>
      </c>
      <c r="H268" s="343">
        <f t="shared" si="37"/>
        <v>-764264.55766486423</v>
      </c>
      <c r="I268" s="313"/>
      <c r="J268" s="344">
        <f t="shared" si="41"/>
        <v>3133.856673864771</v>
      </c>
      <c r="K268" s="344">
        <f t="shared" si="42"/>
        <v>0</v>
      </c>
      <c r="L268" s="343">
        <f t="shared" si="43"/>
        <v>0</v>
      </c>
      <c r="M268" s="336"/>
      <c r="N268" s="345">
        <f>Données!S268</f>
        <v>81280.75</v>
      </c>
      <c r="O268" s="345">
        <f>Données!T268</f>
        <v>0</v>
      </c>
      <c r="P268" s="345">
        <f>Données!U268</f>
        <v>106598.7</v>
      </c>
      <c r="Q268" s="318">
        <f>Données!V268</f>
        <v>1193711.25</v>
      </c>
      <c r="R268" s="302">
        <f t="shared" si="38"/>
        <v>452053.1</v>
      </c>
      <c r="S268" s="322">
        <f t="shared" si="39"/>
        <v>-186757.07075409952</v>
      </c>
      <c r="T268" s="323">
        <f t="shared" si="44"/>
        <v>265296.02924590046</v>
      </c>
    </row>
    <row r="269" spans="1:20" x14ac:dyDescent="0.25">
      <c r="A269" s="148">
        <f>Données!A269</f>
        <v>5882</v>
      </c>
      <c r="B269" s="160" t="str">
        <f>Données!B269</f>
        <v>Chardonne</v>
      </c>
      <c r="C269" s="321">
        <f>Données!C269</f>
        <v>3340</v>
      </c>
      <c r="D269" s="318">
        <f>RFS!W269</f>
        <v>13643580.311427101</v>
      </c>
      <c r="E269" s="336"/>
      <c r="F269" s="342">
        <f t="shared" si="36"/>
        <v>4084.9042848584136</v>
      </c>
      <c r="G269" s="336">
        <f t="shared" si="40"/>
        <v>744.48962243557116</v>
      </c>
      <c r="H269" s="343">
        <f t="shared" si="37"/>
        <v>1989276.2711478462</v>
      </c>
      <c r="I269" s="313"/>
      <c r="J269" s="344">
        <f t="shared" si="41"/>
        <v>3489.3125869099567</v>
      </c>
      <c r="K269" s="344">
        <f t="shared" si="42"/>
        <v>0</v>
      </c>
      <c r="L269" s="343">
        <f t="shared" si="43"/>
        <v>0</v>
      </c>
      <c r="M269" s="336"/>
      <c r="N269" s="345">
        <f>Données!S269</f>
        <v>611176.55000000005</v>
      </c>
      <c r="O269" s="345">
        <f>Données!T269</f>
        <v>242082.1</v>
      </c>
      <c r="P269" s="345">
        <f>Données!U269</f>
        <v>486509.2</v>
      </c>
      <c r="Q269" s="318">
        <f>Données!V269</f>
        <v>17427</v>
      </c>
      <c r="R269" s="302">
        <f t="shared" si="38"/>
        <v>675112.02500000002</v>
      </c>
      <c r="S269" s="322">
        <f t="shared" si="39"/>
        <v>-674344.4500742621</v>
      </c>
      <c r="T269" s="323">
        <f t="shared" si="44"/>
        <v>767.57492573792115</v>
      </c>
    </row>
    <row r="270" spans="1:20" x14ac:dyDescent="0.25">
      <c r="A270" s="148">
        <f>Données!A270</f>
        <v>5883</v>
      </c>
      <c r="B270" s="160" t="str">
        <f>Données!B270</f>
        <v>Corseaux</v>
      </c>
      <c r="C270" s="321">
        <f>Données!C270</f>
        <v>2322</v>
      </c>
      <c r="D270" s="318">
        <f>RFS!W270</f>
        <v>12670381.778842889</v>
      </c>
      <c r="E270" s="336"/>
      <c r="F270" s="342">
        <f t="shared" si="36"/>
        <v>5456.6674327488754</v>
      </c>
      <c r="G270" s="336">
        <f t="shared" si="40"/>
        <v>2116.252770326033</v>
      </c>
      <c r="H270" s="343">
        <f t="shared" si="37"/>
        <v>3931151.1461576391</v>
      </c>
      <c r="I270" s="313"/>
      <c r="J270" s="344">
        <f t="shared" si="41"/>
        <v>3763.6652164880488</v>
      </c>
      <c r="K270" s="344">
        <f t="shared" si="42"/>
        <v>0</v>
      </c>
      <c r="L270" s="343">
        <f t="shared" si="43"/>
        <v>0</v>
      </c>
      <c r="M270" s="336"/>
      <c r="N270" s="345">
        <f>Données!S270</f>
        <v>371486.85</v>
      </c>
      <c r="O270" s="345">
        <f>Données!T270</f>
        <v>295572.2</v>
      </c>
      <c r="P270" s="345">
        <f>Données!U270</f>
        <v>335581.5</v>
      </c>
      <c r="Q270" s="318">
        <f>Données!V270</f>
        <v>6678.2</v>
      </c>
      <c r="R270" s="302">
        <f t="shared" si="38"/>
        <v>503323.73500000004</v>
      </c>
      <c r="S270" s="322">
        <f t="shared" si="39"/>
        <v>-468810.72247677739</v>
      </c>
      <c r="T270" s="323">
        <f t="shared" si="44"/>
        <v>34513.012523222656</v>
      </c>
    </row>
    <row r="271" spans="1:20" x14ac:dyDescent="0.25">
      <c r="A271" s="148">
        <f>Données!A271</f>
        <v>5884</v>
      </c>
      <c r="B271" s="160" t="str">
        <f>Données!B271</f>
        <v>Corsier-sur-Vevey</v>
      </c>
      <c r="C271" s="321">
        <f>Données!C271</f>
        <v>3389</v>
      </c>
      <c r="D271" s="318">
        <f>RFS!W271</f>
        <v>10767153.842483815</v>
      </c>
      <c r="E271" s="336"/>
      <c r="F271" s="342">
        <f t="shared" si="36"/>
        <v>3177.0887702814443</v>
      </c>
      <c r="G271" s="336">
        <f t="shared" si="40"/>
        <v>-163.32589214139807</v>
      </c>
      <c r="H271" s="343">
        <f t="shared" si="37"/>
        <v>-442809.15877375851</v>
      </c>
      <c r="I271" s="313"/>
      <c r="J271" s="344">
        <f t="shared" si="41"/>
        <v>3307.749483994563</v>
      </c>
      <c r="K271" s="344">
        <f t="shared" si="42"/>
        <v>0</v>
      </c>
      <c r="L271" s="343">
        <f t="shared" si="43"/>
        <v>0</v>
      </c>
      <c r="M271" s="336"/>
      <c r="N271" s="345">
        <f>Données!S271</f>
        <v>207181.25</v>
      </c>
      <c r="O271" s="345">
        <f>Données!T271</f>
        <v>315747.7</v>
      </c>
      <c r="P271" s="345">
        <f>Données!U271</f>
        <v>303937.3</v>
      </c>
      <c r="Q271" s="318">
        <f>Données!V271</f>
        <v>621863.85</v>
      </c>
      <c r="R271" s="302">
        <f t="shared" si="38"/>
        <v>599992.28</v>
      </c>
      <c r="S271" s="322">
        <f t="shared" si="39"/>
        <v>-684237.52733583061</v>
      </c>
      <c r="T271" s="323">
        <f t="shared" si="44"/>
        <v>-84245.247335830587</v>
      </c>
    </row>
    <row r="272" spans="1:20" x14ac:dyDescent="0.25">
      <c r="A272" s="148">
        <f>Données!A272</f>
        <v>5885</v>
      </c>
      <c r="B272" s="160" t="str">
        <f>Données!B272</f>
        <v>Jongny</v>
      </c>
      <c r="C272" s="321">
        <f>Données!C272</f>
        <v>1921</v>
      </c>
      <c r="D272" s="318">
        <f>RFS!W272</f>
        <v>7111032.1633032579</v>
      </c>
      <c r="E272" s="336"/>
      <c r="F272" s="342">
        <f t="shared" si="36"/>
        <v>3701.7345982838406</v>
      </c>
      <c r="G272" s="336">
        <f t="shared" si="40"/>
        <v>361.31993586099816</v>
      </c>
      <c r="H272" s="343">
        <f t="shared" si="37"/>
        <v>555276.47743118193</v>
      </c>
      <c r="I272" s="313"/>
      <c r="J272" s="344">
        <f t="shared" si="41"/>
        <v>3412.6786495950419</v>
      </c>
      <c r="K272" s="344">
        <f t="shared" si="42"/>
        <v>0</v>
      </c>
      <c r="L272" s="343">
        <f t="shared" si="43"/>
        <v>0</v>
      </c>
      <c r="M272" s="336"/>
      <c r="N272" s="345">
        <f>Données!S272</f>
        <v>343831.9</v>
      </c>
      <c r="O272" s="345">
        <f>Données!T272</f>
        <v>52953.9</v>
      </c>
      <c r="P272" s="345">
        <f>Données!U272</f>
        <v>241966.85</v>
      </c>
      <c r="Q272" s="318">
        <f>Données!V272</f>
        <v>7430.95</v>
      </c>
      <c r="R272" s="302">
        <f t="shared" si="38"/>
        <v>321605.61</v>
      </c>
      <c r="S272" s="322">
        <f t="shared" si="39"/>
        <v>-387849.00856067589</v>
      </c>
      <c r="T272" s="323">
        <f t="shared" si="44"/>
        <v>-66243.398560675909</v>
      </c>
    </row>
    <row r="273" spans="1:20" x14ac:dyDescent="0.25">
      <c r="A273" s="148">
        <f>Données!A273</f>
        <v>5886</v>
      </c>
      <c r="B273" s="160" t="str">
        <f>Données!B273</f>
        <v>Montreux</v>
      </c>
      <c r="C273" s="321">
        <f>Données!C273</f>
        <v>26964</v>
      </c>
      <c r="D273" s="318">
        <f>RFS!W273</f>
        <v>74993149.181592971</v>
      </c>
      <c r="E273" s="336"/>
      <c r="F273" s="342">
        <f t="shared" si="36"/>
        <v>2781.2323535674591</v>
      </c>
      <c r="G273" s="336">
        <f t="shared" si="40"/>
        <v>-559.18230885538333</v>
      </c>
      <c r="H273" s="343">
        <f t="shared" si="37"/>
        <v>-12062233.420781245</v>
      </c>
      <c r="I273" s="313"/>
      <c r="J273" s="344">
        <f t="shared" si="41"/>
        <v>3228.5782006517657</v>
      </c>
      <c r="K273" s="344">
        <f t="shared" si="42"/>
        <v>0</v>
      </c>
      <c r="L273" s="343">
        <f t="shared" si="43"/>
        <v>0</v>
      </c>
      <c r="M273" s="336"/>
      <c r="N273" s="345">
        <f>Données!S273</f>
        <v>5137090.3</v>
      </c>
      <c r="O273" s="345">
        <f>Données!T273</f>
        <v>15993059.199999999</v>
      </c>
      <c r="P273" s="345">
        <f>Données!U273</f>
        <v>4032855.35</v>
      </c>
      <c r="Q273" s="318">
        <f>Données!V273</f>
        <v>1416315.25</v>
      </c>
      <c r="R273" s="302">
        <f t="shared" si="38"/>
        <v>13006397</v>
      </c>
      <c r="S273" s="322">
        <f t="shared" si="39"/>
        <v>-5444019.0873659886</v>
      </c>
      <c r="T273" s="323">
        <f t="shared" si="44"/>
        <v>7562377.9126340114</v>
      </c>
    </row>
    <row r="274" spans="1:20" x14ac:dyDescent="0.25">
      <c r="A274" s="148">
        <f>Données!A274</f>
        <v>5889</v>
      </c>
      <c r="B274" s="160" t="str">
        <f>Données!B274</f>
        <v>La Tour-de-Peilz</v>
      </c>
      <c r="C274" s="321">
        <f>Données!C274</f>
        <v>12812</v>
      </c>
      <c r="D274" s="318">
        <f>RFS!W274</f>
        <v>49220259.069533147</v>
      </c>
      <c r="E274" s="336"/>
      <c r="F274" s="342">
        <f t="shared" si="36"/>
        <v>3841.731116885197</v>
      </c>
      <c r="G274" s="336">
        <f t="shared" si="40"/>
        <v>501.31645446235461</v>
      </c>
      <c r="H274" s="343">
        <f t="shared" si="37"/>
        <v>5138293.1316573508</v>
      </c>
      <c r="I274" s="313"/>
      <c r="J274" s="344">
        <f t="shared" si="41"/>
        <v>3440.6779533153131</v>
      </c>
      <c r="K274" s="344">
        <f t="shared" si="42"/>
        <v>0</v>
      </c>
      <c r="L274" s="343">
        <f t="shared" si="43"/>
        <v>0</v>
      </c>
      <c r="M274" s="336"/>
      <c r="N274" s="345">
        <f>Données!S274</f>
        <v>3393757.55</v>
      </c>
      <c r="O274" s="345">
        <f>Données!T274</f>
        <v>2550290.7000000002</v>
      </c>
      <c r="P274" s="345">
        <f>Données!U274</f>
        <v>1419522</v>
      </c>
      <c r="Q274" s="318">
        <f>Données!V274</f>
        <v>60579.05</v>
      </c>
      <c r="R274" s="302">
        <f t="shared" si="38"/>
        <v>3699958.84</v>
      </c>
      <c r="S274" s="322">
        <f t="shared" si="39"/>
        <v>-2586736.8545962414</v>
      </c>
      <c r="T274" s="323">
        <f t="shared" si="44"/>
        <v>1113221.9854037585</v>
      </c>
    </row>
    <row r="275" spans="1:20" x14ac:dyDescent="0.25">
      <c r="A275" s="148">
        <f>Données!A275</f>
        <v>5890</v>
      </c>
      <c r="B275" s="160" t="str">
        <f>Données!B275</f>
        <v>Vevey</v>
      </c>
      <c r="C275" s="321">
        <f>Données!C275</f>
        <v>20146</v>
      </c>
      <c r="D275" s="318">
        <f>RFS!W275</f>
        <v>72555784.420220807</v>
      </c>
      <c r="E275" s="336"/>
      <c r="F275" s="342">
        <f t="shared" si="36"/>
        <v>3601.4982835411897</v>
      </c>
      <c r="G275" s="336">
        <f t="shared" si="40"/>
        <v>261.08362111834731</v>
      </c>
      <c r="H275" s="343">
        <f t="shared" si="37"/>
        <v>4207832.5048401803</v>
      </c>
      <c r="I275" s="313"/>
      <c r="J275" s="344">
        <f t="shared" si="41"/>
        <v>3392.6313866465121</v>
      </c>
      <c r="K275" s="344">
        <f t="shared" si="42"/>
        <v>0</v>
      </c>
      <c r="L275" s="343">
        <f t="shared" si="43"/>
        <v>0</v>
      </c>
      <c r="M275" s="336"/>
      <c r="N275" s="345">
        <f>Données!S275</f>
        <v>1870283.35</v>
      </c>
      <c r="O275" s="345">
        <f>Données!T275</f>
        <v>865599.6</v>
      </c>
      <c r="P275" s="345">
        <f>Données!U275</f>
        <v>1357628.75</v>
      </c>
      <c r="Q275" s="318">
        <f>Données!V275</f>
        <v>944752.85</v>
      </c>
      <c r="R275" s="302">
        <f t="shared" si="38"/>
        <v>2330181.7050000001</v>
      </c>
      <c r="S275" s="322">
        <f t="shared" si="39"/>
        <v>-4067468.0512563125</v>
      </c>
      <c r="T275" s="323">
        <f t="shared" si="44"/>
        <v>-1737286.3462563124</v>
      </c>
    </row>
    <row r="276" spans="1:20" x14ac:dyDescent="0.25">
      <c r="A276" s="148">
        <f>Données!A276</f>
        <v>5891</v>
      </c>
      <c r="B276" s="160" t="str">
        <f>Données!B276</f>
        <v>Veytaux</v>
      </c>
      <c r="C276" s="321">
        <f>Données!C276</f>
        <v>1043</v>
      </c>
      <c r="D276" s="318">
        <f>RFS!W276</f>
        <v>2771361.6176195289</v>
      </c>
      <c r="E276" s="336"/>
      <c r="F276" s="342">
        <f t="shared" si="36"/>
        <v>2657.1060571615808</v>
      </c>
      <c r="G276" s="336">
        <f t="shared" si="40"/>
        <v>-683.30860526126162</v>
      </c>
      <c r="H276" s="343">
        <f t="shared" si="37"/>
        <v>-570152.7002299967</v>
      </c>
      <c r="I276" s="313"/>
      <c r="J276" s="344">
        <f t="shared" si="41"/>
        <v>3203.7529413705902</v>
      </c>
      <c r="K276" s="344">
        <f t="shared" si="42"/>
        <v>0</v>
      </c>
      <c r="L276" s="343">
        <f t="shared" si="43"/>
        <v>0</v>
      </c>
      <c r="M276" s="336"/>
      <c r="N276" s="345">
        <f>Données!S276</f>
        <v>114856.45</v>
      </c>
      <c r="O276" s="345">
        <f>Données!T276</f>
        <v>1000</v>
      </c>
      <c r="P276" s="345">
        <f>Données!U276</f>
        <v>147715.65</v>
      </c>
      <c r="Q276" s="318">
        <f>Données!V276</f>
        <v>17190.900000000001</v>
      </c>
      <c r="R276" s="302">
        <f t="shared" si="38"/>
        <v>136943.31999999998</v>
      </c>
      <c r="S276" s="322">
        <f t="shared" si="39"/>
        <v>-210581.21599624411</v>
      </c>
      <c r="T276" s="323">
        <f t="shared" si="44"/>
        <v>-73637.895996244129</v>
      </c>
    </row>
    <row r="277" spans="1:20" x14ac:dyDescent="0.25">
      <c r="A277" s="148">
        <f>Données!A277</f>
        <v>5892</v>
      </c>
      <c r="B277" s="160" t="str">
        <f>Données!B277</f>
        <v>Blonay-Saint-Légier</v>
      </c>
      <c r="C277" s="321">
        <f>Données!C277</f>
        <v>12463</v>
      </c>
      <c r="D277" s="318">
        <f>RFS!W277</f>
        <v>51028437.68372421</v>
      </c>
      <c r="E277" s="336"/>
      <c r="F277" s="342">
        <f t="shared" si="36"/>
        <v>4094.3944221876122</v>
      </c>
      <c r="G277" s="336">
        <f t="shared" si="40"/>
        <v>753.97975976476982</v>
      </c>
      <c r="H277" s="343">
        <f t="shared" si="37"/>
        <v>7517479.796758661</v>
      </c>
      <c r="I277" s="313"/>
      <c r="J277" s="344">
        <f t="shared" si="41"/>
        <v>3491.2106143757965</v>
      </c>
      <c r="K277" s="344">
        <f t="shared" si="42"/>
        <v>0</v>
      </c>
      <c r="L277" s="343">
        <f t="shared" si="43"/>
        <v>0</v>
      </c>
      <c r="M277" s="336"/>
      <c r="N277" s="345">
        <f>Données!S277</f>
        <v>2387821.9500000002</v>
      </c>
      <c r="O277" s="345">
        <f>Données!T277</f>
        <v>1986264.7</v>
      </c>
      <c r="P277" s="345">
        <f>Données!U277</f>
        <v>2656074.7000000002</v>
      </c>
      <c r="Q277" s="318">
        <f>Données!V277</f>
        <v>335219.55</v>
      </c>
      <c r="R277" s="302">
        <f t="shared" si="38"/>
        <v>3615646.54</v>
      </c>
      <c r="S277" s="322">
        <f t="shared" si="39"/>
        <v>-2516273.9165495592</v>
      </c>
      <c r="T277" s="323">
        <f t="shared" si="44"/>
        <v>1099372.6234504408</v>
      </c>
    </row>
    <row r="278" spans="1:20" x14ac:dyDescent="0.25">
      <c r="A278" s="148">
        <f>Données!A278</f>
        <v>5902</v>
      </c>
      <c r="B278" s="160" t="str">
        <f>Données!B278</f>
        <v>Belmont-sur-Yverdon</v>
      </c>
      <c r="C278" s="321">
        <f>Données!C278</f>
        <v>445</v>
      </c>
      <c r="D278" s="318">
        <f>RFS!W278</f>
        <v>836466.1564105117</v>
      </c>
      <c r="E278" s="336"/>
      <c r="F278" s="342">
        <f t="shared" si="36"/>
        <v>1879.6992278887903</v>
      </c>
      <c r="G278" s="336">
        <f t="shared" si="40"/>
        <v>-1460.7154345340521</v>
      </c>
      <c r="H278" s="343">
        <f t="shared" si="37"/>
        <v>-520014.69469412253</v>
      </c>
      <c r="I278" s="313"/>
      <c r="J278" s="344">
        <f t="shared" si="41"/>
        <v>3048.271575516032</v>
      </c>
      <c r="K278" s="344">
        <f t="shared" si="42"/>
        <v>0</v>
      </c>
      <c r="L278" s="343">
        <f t="shared" si="43"/>
        <v>0</v>
      </c>
      <c r="M278" s="336"/>
      <c r="N278" s="345">
        <f>Données!S278</f>
        <v>4723.3999999999996</v>
      </c>
      <c r="O278" s="345">
        <f>Données!T278</f>
        <v>0</v>
      </c>
      <c r="P278" s="345">
        <f>Données!U278</f>
        <v>24163.7</v>
      </c>
      <c r="Q278" s="318">
        <f>Données!V278</f>
        <v>0</v>
      </c>
      <c r="R278" s="302">
        <f t="shared" si="38"/>
        <v>14443.55</v>
      </c>
      <c r="S278" s="322">
        <f t="shared" si="39"/>
        <v>-89845.293497918145</v>
      </c>
      <c r="T278" s="323">
        <f t="shared" si="44"/>
        <v>-75401.743497918142</v>
      </c>
    </row>
    <row r="279" spans="1:20" x14ac:dyDescent="0.25">
      <c r="A279" s="148">
        <f>Données!A279</f>
        <v>5903</v>
      </c>
      <c r="B279" s="160" t="str">
        <f>Données!B279</f>
        <v>Bioley-Magnoux</v>
      </c>
      <c r="C279" s="321">
        <f>Données!C279</f>
        <v>257</v>
      </c>
      <c r="D279" s="318">
        <f>RFS!W279</f>
        <v>476517.04042109853</v>
      </c>
      <c r="E279" s="336"/>
      <c r="F279" s="342">
        <f t="shared" si="36"/>
        <v>1854.1519082533016</v>
      </c>
      <c r="G279" s="336">
        <f t="shared" si="40"/>
        <v>-1486.2627541695408</v>
      </c>
      <c r="H279" s="343">
        <f t="shared" si="37"/>
        <v>-305575.62225725758</v>
      </c>
      <c r="I279" s="313"/>
      <c r="J279" s="344">
        <f t="shared" si="41"/>
        <v>3043.1621115889343</v>
      </c>
      <c r="K279" s="344">
        <f t="shared" si="42"/>
        <v>0</v>
      </c>
      <c r="L279" s="343">
        <f t="shared" si="43"/>
        <v>0</v>
      </c>
      <c r="M279" s="336"/>
      <c r="N279" s="345">
        <f>Données!S279</f>
        <v>27800.799999999999</v>
      </c>
      <c r="O279" s="345">
        <f>Données!T279</f>
        <v>15.9</v>
      </c>
      <c r="P279" s="345">
        <f>Données!U279</f>
        <v>9263.75</v>
      </c>
      <c r="Q279" s="318">
        <f>Données!V279</f>
        <v>37005.75</v>
      </c>
      <c r="R279" s="302">
        <f t="shared" si="38"/>
        <v>29641.949999999997</v>
      </c>
      <c r="S279" s="322">
        <f t="shared" si="39"/>
        <v>-51888.180739247109</v>
      </c>
      <c r="T279" s="323">
        <f t="shared" si="44"/>
        <v>-22246.230739247112</v>
      </c>
    </row>
    <row r="280" spans="1:20" x14ac:dyDescent="0.25">
      <c r="A280" s="148">
        <f>Données!A280</f>
        <v>5904</v>
      </c>
      <c r="B280" s="160" t="str">
        <f>Données!B280</f>
        <v>Chamblon</v>
      </c>
      <c r="C280" s="321">
        <f>Données!C280</f>
        <v>554</v>
      </c>
      <c r="D280" s="318">
        <f>RFS!W280</f>
        <v>1150838.1257515873</v>
      </c>
      <c r="E280" s="336"/>
      <c r="F280" s="342">
        <f t="shared" si="36"/>
        <v>2077.325136735717</v>
      </c>
      <c r="G280" s="336">
        <f t="shared" si="40"/>
        <v>-1263.0895256871254</v>
      </c>
      <c r="H280" s="343">
        <f t="shared" si="37"/>
        <v>-559801.27778453403</v>
      </c>
      <c r="I280" s="313"/>
      <c r="J280" s="344">
        <f t="shared" si="41"/>
        <v>3087.7967572854177</v>
      </c>
      <c r="K280" s="344">
        <f t="shared" si="42"/>
        <v>0</v>
      </c>
      <c r="L280" s="343">
        <f t="shared" si="43"/>
        <v>0</v>
      </c>
      <c r="M280" s="336"/>
      <c r="N280" s="345">
        <f>Données!S280</f>
        <v>37984.699999999997</v>
      </c>
      <c r="O280" s="345">
        <f>Données!T280</f>
        <v>0</v>
      </c>
      <c r="P280" s="345">
        <f>Données!U280</f>
        <v>44214.65</v>
      </c>
      <c r="Q280" s="318">
        <f>Données!V280</f>
        <v>55701</v>
      </c>
      <c r="R280" s="302">
        <f t="shared" si="38"/>
        <v>57809.975000000006</v>
      </c>
      <c r="S280" s="322">
        <f t="shared" si="39"/>
        <v>-111852.34291650934</v>
      </c>
      <c r="T280" s="323">
        <f t="shared" si="44"/>
        <v>-54042.367916509334</v>
      </c>
    </row>
    <row r="281" spans="1:20" x14ac:dyDescent="0.25">
      <c r="A281" s="148">
        <f>Données!A281</f>
        <v>5905</v>
      </c>
      <c r="B281" s="160" t="str">
        <f>Données!B281</f>
        <v>Champvent</v>
      </c>
      <c r="C281" s="321">
        <f>Données!C281</f>
        <v>725</v>
      </c>
      <c r="D281" s="318">
        <f>RFS!W281</f>
        <v>1422888.272108624</v>
      </c>
      <c r="E281" s="336"/>
      <c r="F281" s="342">
        <f t="shared" si="36"/>
        <v>1962.6045132532745</v>
      </c>
      <c r="G281" s="336">
        <f t="shared" si="40"/>
        <v>-1377.8101491695679</v>
      </c>
      <c r="H281" s="343">
        <f t="shared" si="37"/>
        <v>-799129.88651834941</v>
      </c>
      <c r="I281" s="313"/>
      <c r="J281" s="344">
        <f t="shared" si="41"/>
        <v>3064.8526325889288</v>
      </c>
      <c r="K281" s="344">
        <f t="shared" si="42"/>
        <v>0</v>
      </c>
      <c r="L281" s="343">
        <f t="shared" si="43"/>
        <v>0</v>
      </c>
      <c r="M281" s="336"/>
      <c r="N281" s="345">
        <f>Données!S281</f>
        <v>12570.2</v>
      </c>
      <c r="O281" s="345">
        <f>Données!T281</f>
        <v>58287.7</v>
      </c>
      <c r="P281" s="345">
        <f>Données!U281</f>
        <v>21075.75</v>
      </c>
      <c r="Q281" s="318">
        <f>Données!V281</f>
        <v>185925.25</v>
      </c>
      <c r="R281" s="302">
        <f t="shared" si="38"/>
        <v>101744.4</v>
      </c>
      <c r="S281" s="322">
        <f t="shared" si="39"/>
        <v>-146377.16356402394</v>
      </c>
      <c r="T281" s="323">
        <f t="shared" si="44"/>
        <v>-44632.763564023946</v>
      </c>
    </row>
    <row r="282" spans="1:20" x14ac:dyDescent="0.25">
      <c r="A282" s="148">
        <f>Données!A282</f>
        <v>5907</v>
      </c>
      <c r="B282" s="160" t="str">
        <f>Données!B282</f>
        <v>Chavannes-le-Chêne</v>
      </c>
      <c r="C282" s="321">
        <f>Données!C282</f>
        <v>322</v>
      </c>
      <c r="D282" s="318">
        <f>RFS!W282</f>
        <v>530556.28557953797</v>
      </c>
      <c r="E282" s="336"/>
      <c r="F282" s="342">
        <f t="shared" si="36"/>
        <v>1647.690327886764</v>
      </c>
      <c r="G282" s="336">
        <f t="shared" si="40"/>
        <v>-1692.7243345360785</v>
      </c>
      <c r="H282" s="343">
        <f t="shared" si="37"/>
        <v>-436045.7885764938</v>
      </c>
      <c r="I282" s="313"/>
      <c r="J282" s="344">
        <f t="shared" si="41"/>
        <v>3001.8697955156267</v>
      </c>
      <c r="K282" s="344">
        <f t="shared" si="42"/>
        <v>-4.5034006649298135</v>
      </c>
      <c r="L282" s="343">
        <f t="shared" si="43"/>
        <v>-1450</v>
      </c>
      <c r="M282" s="336"/>
      <c r="N282" s="345">
        <f>Données!S282</f>
        <v>11280.05</v>
      </c>
      <c r="O282" s="345">
        <f>Données!T282</f>
        <v>0</v>
      </c>
      <c r="P282" s="345">
        <f>Données!U282</f>
        <v>16305</v>
      </c>
      <c r="Q282" s="318">
        <f>Données!V282</f>
        <v>4344.3999999999996</v>
      </c>
      <c r="R282" s="302">
        <f t="shared" si="38"/>
        <v>15095.844999999999</v>
      </c>
      <c r="S282" s="322">
        <f t="shared" si="39"/>
        <v>-65011.650576021675</v>
      </c>
      <c r="T282" s="323">
        <f t="shared" si="44"/>
        <v>-49915.805576021674</v>
      </c>
    </row>
    <row r="283" spans="1:20" x14ac:dyDescent="0.25">
      <c r="A283" s="148">
        <f>Données!A283</f>
        <v>5908</v>
      </c>
      <c r="B283" s="160" t="str">
        <f>Données!B283</f>
        <v>Chêne-Pâquier</v>
      </c>
      <c r="C283" s="321">
        <f>Données!C283</f>
        <v>173</v>
      </c>
      <c r="D283" s="318">
        <f>RFS!W283</f>
        <v>385265.88854976842</v>
      </c>
      <c r="E283" s="336"/>
      <c r="F283" s="342">
        <f t="shared" si="36"/>
        <v>2226.9704540449043</v>
      </c>
      <c r="G283" s="336">
        <f t="shared" si="40"/>
        <v>-1113.4442083779381</v>
      </c>
      <c r="H283" s="343">
        <f t="shared" si="37"/>
        <v>-154100.67843950665</v>
      </c>
      <c r="I283" s="313"/>
      <c r="J283" s="344">
        <f t="shared" si="41"/>
        <v>3117.7258207472551</v>
      </c>
      <c r="K283" s="344">
        <f t="shared" si="42"/>
        <v>0</v>
      </c>
      <c r="L283" s="343">
        <f t="shared" si="43"/>
        <v>0</v>
      </c>
      <c r="M283" s="336"/>
      <c r="N283" s="345">
        <f>Données!S283</f>
        <v>16181.8</v>
      </c>
      <c r="O283" s="345">
        <f>Données!T283</f>
        <v>2084.5</v>
      </c>
      <c r="P283" s="345">
        <f>Données!U283</f>
        <v>26541.599999999999</v>
      </c>
      <c r="Q283" s="318">
        <f>Données!V283</f>
        <v>0</v>
      </c>
      <c r="R283" s="302">
        <f t="shared" si="38"/>
        <v>22403.949999999997</v>
      </c>
      <c r="S283" s="322">
        <f t="shared" si="39"/>
        <v>-34928.619719415372</v>
      </c>
      <c r="T283" s="323">
        <f t="shared" si="44"/>
        <v>-12524.669719415375</v>
      </c>
    </row>
    <row r="284" spans="1:20" x14ac:dyDescent="0.25">
      <c r="A284" s="148">
        <f>Données!A284</f>
        <v>5909</v>
      </c>
      <c r="B284" s="160" t="str">
        <f>Données!B284</f>
        <v>Cheseaux-Noréaz</v>
      </c>
      <c r="C284" s="321">
        <f>Données!C284</f>
        <v>734</v>
      </c>
      <c r="D284" s="318">
        <f>RFS!W284</f>
        <v>2124632.8050828148</v>
      </c>
      <c r="E284" s="336"/>
      <c r="F284" s="342">
        <f t="shared" si="36"/>
        <v>2894.5951022926633</v>
      </c>
      <c r="G284" s="336">
        <f t="shared" si="40"/>
        <v>-445.81956013017907</v>
      </c>
      <c r="H284" s="343">
        <f t="shared" si="37"/>
        <v>-261785.24570844116</v>
      </c>
      <c r="I284" s="313"/>
      <c r="J284" s="344">
        <f t="shared" si="41"/>
        <v>3251.2507503968068</v>
      </c>
      <c r="K284" s="344">
        <f t="shared" si="42"/>
        <v>0</v>
      </c>
      <c r="L284" s="343">
        <f t="shared" si="43"/>
        <v>0</v>
      </c>
      <c r="M284" s="336"/>
      <c r="N284" s="345">
        <f>Données!S284</f>
        <v>197343</v>
      </c>
      <c r="O284" s="345">
        <f>Données!T284</f>
        <v>74655</v>
      </c>
      <c r="P284" s="345">
        <f>Données!U284</f>
        <v>169919.05</v>
      </c>
      <c r="Q284" s="318">
        <f>Données!V284</f>
        <v>6293.85</v>
      </c>
      <c r="R284" s="302">
        <f t="shared" si="38"/>
        <v>222846.68</v>
      </c>
      <c r="S284" s="322">
        <f t="shared" si="39"/>
        <v>-148194.25938757736</v>
      </c>
      <c r="T284" s="323">
        <f t="shared" si="44"/>
        <v>74652.420612422633</v>
      </c>
    </row>
    <row r="285" spans="1:20" x14ac:dyDescent="0.25">
      <c r="A285" s="148">
        <f>Données!A285</f>
        <v>5910</v>
      </c>
      <c r="B285" s="160" t="str">
        <f>Données!B285</f>
        <v>Cronay</v>
      </c>
      <c r="C285" s="321">
        <f>Données!C285</f>
        <v>425</v>
      </c>
      <c r="D285" s="318">
        <f>RFS!W285</f>
        <v>781824.46872898971</v>
      </c>
      <c r="E285" s="336"/>
      <c r="F285" s="342">
        <f t="shared" si="36"/>
        <v>1839.5869852446817</v>
      </c>
      <c r="G285" s="336">
        <f t="shared" si="40"/>
        <v>-1500.8276771781607</v>
      </c>
      <c r="H285" s="343">
        <f t="shared" si="37"/>
        <v>-510281.41024057462</v>
      </c>
      <c r="I285" s="313"/>
      <c r="J285" s="344">
        <f t="shared" si="41"/>
        <v>3040.2491269872103</v>
      </c>
      <c r="K285" s="344">
        <f t="shared" si="42"/>
        <v>0</v>
      </c>
      <c r="L285" s="343">
        <f t="shared" si="43"/>
        <v>0</v>
      </c>
      <c r="M285" s="336"/>
      <c r="N285" s="345">
        <f>Données!S285</f>
        <v>7040</v>
      </c>
      <c r="O285" s="345">
        <f>Données!T285</f>
        <v>455.2</v>
      </c>
      <c r="P285" s="345">
        <f>Données!U285</f>
        <v>1108.05</v>
      </c>
      <c r="Q285" s="318">
        <f>Données!V285</f>
        <v>4807.75</v>
      </c>
      <c r="R285" s="302">
        <f t="shared" si="38"/>
        <v>5743.95</v>
      </c>
      <c r="S285" s="322">
        <f t="shared" si="39"/>
        <v>-85807.302778910598</v>
      </c>
      <c r="T285" s="323">
        <f t="shared" si="44"/>
        <v>-80063.352778910601</v>
      </c>
    </row>
    <row r="286" spans="1:20" x14ac:dyDescent="0.25">
      <c r="A286" s="148">
        <f>Données!A286</f>
        <v>5911</v>
      </c>
      <c r="B286" s="160" t="str">
        <f>Données!B286</f>
        <v>Cuarny</v>
      </c>
      <c r="C286" s="321">
        <f>Données!C286</f>
        <v>241</v>
      </c>
      <c r="D286" s="318">
        <f>RFS!W286</f>
        <v>478956.26696088148</v>
      </c>
      <c r="E286" s="336"/>
      <c r="F286" s="342">
        <f t="shared" si="36"/>
        <v>1987.370402327309</v>
      </c>
      <c r="G286" s="336">
        <f t="shared" si="40"/>
        <v>-1353.0442600955334</v>
      </c>
      <c r="H286" s="343">
        <f t="shared" si="37"/>
        <v>-260866.93334641884</v>
      </c>
      <c r="I286" s="313"/>
      <c r="J286" s="344">
        <f t="shared" si="41"/>
        <v>3069.8058104037354</v>
      </c>
      <c r="K286" s="344">
        <f t="shared" si="42"/>
        <v>0</v>
      </c>
      <c r="L286" s="343">
        <f t="shared" si="43"/>
        <v>0</v>
      </c>
      <c r="M286" s="336"/>
      <c r="N286" s="345">
        <f>Données!S286</f>
        <v>17277.2</v>
      </c>
      <c r="O286" s="345">
        <f>Données!T286</f>
        <v>14515.400000000023</v>
      </c>
      <c r="P286" s="345">
        <f>Données!U286</f>
        <v>18271.900000000001</v>
      </c>
      <c r="Q286" s="318">
        <f>Données!V286</f>
        <v>0</v>
      </c>
      <c r="R286" s="302">
        <f t="shared" si="38"/>
        <v>25032.250000000015</v>
      </c>
      <c r="S286" s="322">
        <f t="shared" si="39"/>
        <v>-48657.788164041063</v>
      </c>
      <c r="T286" s="323">
        <f t="shared" si="44"/>
        <v>-23625.538164041049</v>
      </c>
    </row>
    <row r="287" spans="1:20" x14ac:dyDescent="0.25">
      <c r="A287" s="148">
        <f>Données!A287</f>
        <v>5912</v>
      </c>
      <c r="B287" s="160" t="str">
        <f>Données!B287</f>
        <v>Démoret</v>
      </c>
      <c r="C287" s="321">
        <f>Données!C287</f>
        <v>172</v>
      </c>
      <c r="D287" s="318">
        <f>RFS!W287</f>
        <v>277652.77302159189</v>
      </c>
      <c r="E287" s="336"/>
      <c r="F287" s="342">
        <f t="shared" si="36"/>
        <v>1614.2603082650692</v>
      </c>
      <c r="G287" s="336">
        <f t="shared" si="40"/>
        <v>-1726.1543541577732</v>
      </c>
      <c r="H287" s="343">
        <f t="shared" si="37"/>
        <v>-237518.83913210963</v>
      </c>
      <c r="I287" s="313"/>
      <c r="J287" s="344">
        <f t="shared" si="41"/>
        <v>2995.1837915912879</v>
      </c>
      <c r="K287" s="344">
        <f t="shared" si="42"/>
        <v>-11.189404589268634</v>
      </c>
      <c r="L287" s="343">
        <f t="shared" si="43"/>
        <v>-1925</v>
      </c>
      <c r="M287" s="336"/>
      <c r="N287" s="345">
        <f>Données!S287</f>
        <v>10946.55</v>
      </c>
      <c r="O287" s="345">
        <f>Données!T287</f>
        <v>0</v>
      </c>
      <c r="P287" s="345">
        <f>Données!U287</f>
        <v>6490.7</v>
      </c>
      <c r="Q287" s="318">
        <f>Données!V287</f>
        <v>0</v>
      </c>
      <c r="R287" s="302">
        <f t="shared" si="38"/>
        <v>8718.625</v>
      </c>
      <c r="S287" s="322">
        <f t="shared" si="39"/>
        <v>-34726.72018346499</v>
      </c>
      <c r="T287" s="323">
        <f t="shared" si="44"/>
        <v>-26008.09518346499</v>
      </c>
    </row>
    <row r="288" spans="1:20" x14ac:dyDescent="0.25">
      <c r="A288" s="148">
        <f>Données!A288</f>
        <v>5913</v>
      </c>
      <c r="B288" s="160" t="str">
        <f>Données!B288</f>
        <v>Donneloye</v>
      </c>
      <c r="C288" s="321">
        <f>Données!C288</f>
        <v>917</v>
      </c>
      <c r="D288" s="318">
        <f>RFS!W288</f>
        <v>1488019.9169533462</v>
      </c>
      <c r="E288" s="336"/>
      <c r="F288" s="342">
        <f t="shared" si="36"/>
        <v>1622.7043805380004</v>
      </c>
      <c r="G288" s="336">
        <f t="shared" si="40"/>
        <v>-1717.7102818848421</v>
      </c>
      <c r="H288" s="343">
        <f t="shared" si="37"/>
        <v>-1260112.2627907202</v>
      </c>
      <c r="I288" s="313"/>
      <c r="J288" s="344">
        <f t="shared" si="41"/>
        <v>2996.8726060458739</v>
      </c>
      <c r="K288" s="344">
        <f t="shared" si="42"/>
        <v>-9.5005901346826249</v>
      </c>
      <c r="L288" s="343">
        <f t="shared" si="43"/>
        <v>-8712</v>
      </c>
      <c r="M288" s="336"/>
      <c r="N288" s="345">
        <f>Données!S288</f>
        <v>72314</v>
      </c>
      <c r="O288" s="345">
        <f>Données!T288</f>
        <v>2864.4</v>
      </c>
      <c r="P288" s="345">
        <f>Données!U288</f>
        <v>82583.399999999994</v>
      </c>
      <c r="Q288" s="318">
        <f>Données!V288</f>
        <v>14596.95</v>
      </c>
      <c r="R288" s="302">
        <f t="shared" si="38"/>
        <v>83259.985000000001</v>
      </c>
      <c r="S288" s="322">
        <f t="shared" si="39"/>
        <v>-185141.87446649649</v>
      </c>
      <c r="T288" s="323">
        <f t="shared" si="44"/>
        <v>-101881.88946649649</v>
      </c>
    </row>
    <row r="289" spans="1:20" x14ac:dyDescent="0.25">
      <c r="A289" s="148">
        <f>Données!A289</f>
        <v>5914</v>
      </c>
      <c r="B289" s="160" t="str">
        <f>Données!B289</f>
        <v>Ependes</v>
      </c>
      <c r="C289" s="321">
        <f>Données!C289</f>
        <v>381</v>
      </c>
      <c r="D289" s="318">
        <f>RFS!W289</f>
        <v>712679.88912142767</v>
      </c>
      <c r="E289" s="336"/>
      <c r="F289" s="342">
        <f t="shared" si="36"/>
        <v>1870.5508900824873</v>
      </c>
      <c r="G289" s="336">
        <f t="shared" si="40"/>
        <v>-1469.8637723403551</v>
      </c>
      <c r="H289" s="343">
        <f t="shared" si="37"/>
        <v>-448014.47780934029</v>
      </c>
      <c r="I289" s="313"/>
      <c r="J289" s="344">
        <f t="shared" si="41"/>
        <v>3046.4419079547715</v>
      </c>
      <c r="K289" s="344">
        <f t="shared" si="42"/>
        <v>0</v>
      </c>
      <c r="L289" s="343">
        <f t="shared" si="43"/>
        <v>0</v>
      </c>
      <c r="M289" s="336"/>
      <c r="N289" s="345">
        <f>Données!S289</f>
        <v>24200</v>
      </c>
      <c r="O289" s="345">
        <f>Données!T289</f>
        <v>0</v>
      </c>
      <c r="P289" s="345">
        <f>Données!U289</f>
        <v>7910.5</v>
      </c>
      <c r="Q289" s="318">
        <f>Données!V289</f>
        <v>30054.1</v>
      </c>
      <c r="R289" s="302">
        <f t="shared" si="38"/>
        <v>25071.48</v>
      </c>
      <c r="S289" s="322">
        <f t="shared" si="39"/>
        <v>-76923.723197093961</v>
      </c>
      <c r="T289" s="323">
        <f t="shared" si="44"/>
        <v>-51852.243197093965</v>
      </c>
    </row>
    <row r="290" spans="1:20" x14ac:dyDescent="0.25">
      <c r="A290" s="148">
        <f>Données!A290</f>
        <v>5919</v>
      </c>
      <c r="B290" s="160" t="str">
        <f>Données!B290</f>
        <v>Mathod</v>
      </c>
      <c r="C290" s="321">
        <f>Données!C290</f>
        <v>725</v>
      </c>
      <c r="D290" s="318">
        <f>RFS!W290</f>
        <v>1453374.1462382465</v>
      </c>
      <c r="E290" s="336"/>
      <c r="F290" s="342">
        <f t="shared" si="36"/>
        <v>2004.6539948113743</v>
      </c>
      <c r="G290" s="336">
        <f t="shared" si="40"/>
        <v>-1335.7606676114681</v>
      </c>
      <c r="H290" s="343">
        <f t="shared" si="37"/>
        <v>-774741.18721465149</v>
      </c>
      <c r="I290" s="313"/>
      <c r="J290" s="344">
        <f t="shared" si="41"/>
        <v>3073.2625289005491</v>
      </c>
      <c r="K290" s="344">
        <f t="shared" si="42"/>
        <v>0</v>
      </c>
      <c r="L290" s="343">
        <f t="shared" si="43"/>
        <v>0</v>
      </c>
      <c r="M290" s="336"/>
      <c r="N290" s="345">
        <f>Données!S290</f>
        <v>78508</v>
      </c>
      <c r="O290" s="345">
        <f>Données!T290</f>
        <v>0</v>
      </c>
      <c r="P290" s="345">
        <f>Données!U290</f>
        <v>68929</v>
      </c>
      <c r="Q290" s="318">
        <f>Données!V290</f>
        <v>46399.1</v>
      </c>
      <c r="R290" s="302">
        <f t="shared" si="38"/>
        <v>87638.23</v>
      </c>
      <c r="S290" s="322">
        <f t="shared" si="39"/>
        <v>-146377.16356402394</v>
      </c>
      <c r="T290" s="323">
        <f t="shared" si="44"/>
        <v>-58738.933564023944</v>
      </c>
    </row>
    <row r="291" spans="1:20" x14ac:dyDescent="0.25">
      <c r="A291" s="148">
        <f>Données!A291</f>
        <v>5921</v>
      </c>
      <c r="B291" s="160" t="str">
        <f>Données!B291</f>
        <v>Molondin</v>
      </c>
      <c r="C291" s="321">
        <f>Données!C291</f>
        <v>269</v>
      </c>
      <c r="D291" s="318">
        <f>RFS!W291</f>
        <v>475980.64965398802</v>
      </c>
      <c r="E291" s="336"/>
      <c r="F291" s="342">
        <f t="shared" si="36"/>
        <v>1769.4447942527436</v>
      </c>
      <c r="G291" s="336">
        <f t="shared" si="40"/>
        <v>-1570.9698681700988</v>
      </c>
      <c r="H291" s="343">
        <f t="shared" si="37"/>
        <v>-338072.71563020529</v>
      </c>
      <c r="I291" s="313"/>
      <c r="J291" s="344">
        <f t="shared" si="41"/>
        <v>3026.2206887888228</v>
      </c>
      <c r="K291" s="344">
        <f t="shared" si="42"/>
        <v>0</v>
      </c>
      <c r="L291" s="343">
        <f t="shared" si="43"/>
        <v>0</v>
      </c>
      <c r="M291" s="336"/>
      <c r="N291" s="345">
        <f>Données!S291</f>
        <v>29410.85</v>
      </c>
      <c r="O291" s="345">
        <f>Données!T291</f>
        <v>0</v>
      </c>
      <c r="P291" s="345">
        <f>Données!U291</f>
        <v>38769.9</v>
      </c>
      <c r="Q291" s="318">
        <f>Données!V291</f>
        <v>9549.0499999999993</v>
      </c>
      <c r="R291" s="302">
        <f t="shared" si="38"/>
        <v>36955.089999999997</v>
      </c>
      <c r="S291" s="322">
        <f t="shared" si="39"/>
        <v>-54310.975170651647</v>
      </c>
      <c r="T291" s="323">
        <f t="shared" si="44"/>
        <v>-17355.885170651651</v>
      </c>
    </row>
    <row r="292" spans="1:20" x14ac:dyDescent="0.25">
      <c r="A292" s="148">
        <f>Données!A292</f>
        <v>5922</v>
      </c>
      <c r="B292" s="160" t="str">
        <f>Données!B292</f>
        <v>Montagny-près-Yverdon</v>
      </c>
      <c r="C292" s="321">
        <f>Données!C292</f>
        <v>783</v>
      </c>
      <c r="D292" s="318">
        <f>RFS!W292</f>
        <v>2728419.6072344095</v>
      </c>
      <c r="E292" s="336"/>
      <c r="F292" s="342">
        <f t="shared" si="36"/>
        <v>3484.5716567489267</v>
      </c>
      <c r="G292" s="336">
        <f t="shared" si="40"/>
        <v>144.15699432608426</v>
      </c>
      <c r="H292" s="343">
        <f t="shared" si="37"/>
        <v>90299.941245859183</v>
      </c>
      <c r="I292" s="313"/>
      <c r="J292" s="344">
        <f t="shared" si="41"/>
        <v>3369.2460612880591</v>
      </c>
      <c r="K292" s="344">
        <f t="shared" si="42"/>
        <v>0</v>
      </c>
      <c r="L292" s="343">
        <f t="shared" si="43"/>
        <v>0</v>
      </c>
      <c r="M292" s="336"/>
      <c r="N292" s="345">
        <f>Données!S292</f>
        <v>253982.8</v>
      </c>
      <c r="O292" s="345">
        <f>Données!T292</f>
        <v>0</v>
      </c>
      <c r="P292" s="345">
        <f>Données!U292</f>
        <v>70255.899999999994</v>
      </c>
      <c r="Q292" s="318">
        <f>Données!V292</f>
        <v>441178.7</v>
      </c>
      <c r="R292" s="302">
        <f t="shared" si="38"/>
        <v>294472.95999999996</v>
      </c>
      <c r="S292" s="322">
        <f t="shared" si="39"/>
        <v>-158087.33664914587</v>
      </c>
      <c r="T292" s="323">
        <f t="shared" si="44"/>
        <v>136385.62335085409</v>
      </c>
    </row>
    <row r="293" spans="1:20" x14ac:dyDescent="0.25">
      <c r="A293" s="148">
        <f>Données!A293</f>
        <v>5923</v>
      </c>
      <c r="B293" s="160" t="str">
        <f>Données!B293</f>
        <v>Oppens</v>
      </c>
      <c r="C293" s="321">
        <f>Données!C293</f>
        <v>202</v>
      </c>
      <c r="D293" s="318">
        <f>RFS!W293</f>
        <v>389854.23794603726</v>
      </c>
      <c r="E293" s="336"/>
      <c r="F293" s="342">
        <f t="shared" si="36"/>
        <v>1929.9714749803825</v>
      </c>
      <c r="G293" s="336">
        <f t="shared" si="40"/>
        <v>-1410.4431874424599</v>
      </c>
      <c r="H293" s="343">
        <f t="shared" si="37"/>
        <v>-227927.61909070154</v>
      </c>
      <c r="I293" s="313"/>
      <c r="J293" s="344">
        <f t="shared" si="41"/>
        <v>3058.3260249343502</v>
      </c>
      <c r="K293" s="344">
        <f t="shared" si="42"/>
        <v>0</v>
      </c>
      <c r="L293" s="343">
        <f t="shared" si="43"/>
        <v>0</v>
      </c>
      <c r="M293" s="336"/>
      <c r="N293" s="345">
        <f>Données!S293</f>
        <v>0</v>
      </c>
      <c r="O293" s="345">
        <f>Données!T293</f>
        <v>0</v>
      </c>
      <c r="P293" s="345">
        <f>Données!U293</f>
        <v>0</v>
      </c>
      <c r="Q293" s="318">
        <f>Données!V293</f>
        <v>27717.1</v>
      </c>
      <c r="R293" s="302">
        <f t="shared" si="38"/>
        <v>8315.1299999999992</v>
      </c>
      <c r="S293" s="322">
        <f t="shared" si="39"/>
        <v>-40783.706261976331</v>
      </c>
      <c r="T293" s="323">
        <f t="shared" si="44"/>
        <v>-32468.576261976334</v>
      </c>
    </row>
    <row r="294" spans="1:20" x14ac:dyDescent="0.25">
      <c r="A294" s="148">
        <f>Données!A294</f>
        <v>5924</v>
      </c>
      <c r="B294" s="160" t="str">
        <f>Données!B294</f>
        <v>Orges</v>
      </c>
      <c r="C294" s="321">
        <f>Données!C294</f>
        <v>424</v>
      </c>
      <c r="D294" s="318">
        <f>RFS!W294</f>
        <v>902276.63180840353</v>
      </c>
      <c r="E294" s="336"/>
      <c r="F294" s="342">
        <f t="shared" si="36"/>
        <v>2128.0109240764236</v>
      </c>
      <c r="G294" s="336">
        <f t="shared" si="40"/>
        <v>-1212.4037383464188</v>
      </c>
      <c r="H294" s="343">
        <f t="shared" si="37"/>
        <v>-411247.3480471053</v>
      </c>
      <c r="I294" s="313"/>
      <c r="J294" s="344">
        <f t="shared" si="41"/>
        <v>3097.9339147535588</v>
      </c>
      <c r="K294" s="344">
        <f t="shared" si="42"/>
        <v>0</v>
      </c>
      <c r="L294" s="343">
        <f t="shared" si="43"/>
        <v>0</v>
      </c>
      <c r="M294" s="336"/>
      <c r="N294" s="345">
        <f>Données!S294</f>
        <v>27873.9</v>
      </c>
      <c r="O294" s="345">
        <f>Données!T294</f>
        <v>0</v>
      </c>
      <c r="P294" s="345">
        <f>Données!U294</f>
        <v>55911.85</v>
      </c>
      <c r="Q294" s="318">
        <f>Données!V294</f>
        <v>40700.550000000003</v>
      </c>
      <c r="R294" s="302">
        <f t="shared" si="38"/>
        <v>54103.040000000001</v>
      </c>
      <c r="S294" s="322">
        <f t="shared" si="39"/>
        <v>-85605.403242960223</v>
      </c>
      <c r="T294" s="323">
        <f t="shared" si="44"/>
        <v>-31502.363242960222</v>
      </c>
    </row>
    <row r="295" spans="1:20" x14ac:dyDescent="0.25">
      <c r="A295" s="148">
        <f>Données!A295</f>
        <v>5925</v>
      </c>
      <c r="B295" s="160" t="str">
        <f>Données!B295</f>
        <v>Orzens</v>
      </c>
      <c r="C295" s="321">
        <f>Données!C295</f>
        <v>216</v>
      </c>
      <c r="D295" s="318">
        <f>RFS!W295</f>
        <v>346551.33318310819</v>
      </c>
      <c r="E295" s="336"/>
      <c r="F295" s="342">
        <f t="shared" si="36"/>
        <v>1604.4043202921675</v>
      </c>
      <c r="G295" s="336">
        <f t="shared" si="40"/>
        <v>-1736.0103421306749</v>
      </c>
      <c r="H295" s="343">
        <f t="shared" si="37"/>
        <v>-299982.5871201806</v>
      </c>
      <c r="I295" s="313"/>
      <c r="J295" s="344">
        <f t="shared" si="41"/>
        <v>2993.2125939967073</v>
      </c>
      <c r="K295" s="344">
        <f t="shared" si="42"/>
        <v>-13.160602183849278</v>
      </c>
      <c r="L295" s="343">
        <f t="shared" si="43"/>
        <v>-2843</v>
      </c>
      <c r="M295" s="336"/>
      <c r="N295" s="345">
        <f>Données!S295</f>
        <v>4400</v>
      </c>
      <c r="O295" s="345">
        <f>Données!T295</f>
        <v>11457.8</v>
      </c>
      <c r="P295" s="345">
        <f>Données!U295</f>
        <v>20020.95</v>
      </c>
      <c r="Q295" s="318">
        <f>Données!V295</f>
        <v>2336.9</v>
      </c>
      <c r="R295" s="302">
        <f t="shared" si="38"/>
        <v>18640.445</v>
      </c>
      <c r="S295" s="322">
        <f t="shared" si="39"/>
        <v>-43610.299765281619</v>
      </c>
      <c r="T295" s="323">
        <f t="shared" si="44"/>
        <v>-24969.85476528162</v>
      </c>
    </row>
    <row r="296" spans="1:20" x14ac:dyDescent="0.25">
      <c r="A296" s="148">
        <f>Données!A296</f>
        <v>5926</v>
      </c>
      <c r="B296" s="160" t="str">
        <f>Données!B296</f>
        <v>Pomy</v>
      </c>
      <c r="C296" s="321">
        <f>Données!C296</f>
        <v>877</v>
      </c>
      <c r="D296" s="318">
        <f>RFS!W296</f>
        <v>1807483.7392545745</v>
      </c>
      <c r="E296" s="336"/>
      <c r="F296" s="342">
        <f t="shared" si="36"/>
        <v>2060.9848794236882</v>
      </c>
      <c r="G296" s="336">
        <f t="shared" si="40"/>
        <v>-1279.4297829991542</v>
      </c>
      <c r="H296" s="343">
        <f t="shared" si="37"/>
        <v>-897647.9357522066</v>
      </c>
      <c r="I296" s="313"/>
      <c r="J296" s="344">
        <f t="shared" si="41"/>
        <v>3084.5287058230115</v>
      </c>
      <c r="K296" s="344">
        <f t="shared" si="42"/>
        <v>0</v>
      </c>
      <c r="L296" s="343">
        <f t="shared" si="43"/>
        <v>0</v>
      </c>
      <c r="M296" s="336"/>
      <c r="N296" s="345">
        <f>Données!S296</f>
        <v>145017.85</v>
      </c>
      <c r="O296" s="345">
        <f>Données!T296</f>
        <v>18893.900000000001</v>
      </c>
      <c r="P296" s="345">
        <f>Données!U296</f>
        <v>112535.85</v>
      </c>
      <c r="Q296" s="318">
        <f>Données!V296</f>
        <v>28674.3</v>
      </c>
      <c r="R296" s="302">
        <f t="shared" si="38"/>
        <v>146826.09</v>
      </c>
      <c r="S296" s="322">
        <f t="shared" si="39"/>
        <v>-177065.8930284814</v>
      </c>
      <c r="T296" s="323">
        <f t="shared" si="44"/>
        <v>-30239.803028481401</v>
      </c>
    </row>
    <row r="297" spans="1:20" x14ac:dyDescent="0.25">
      <c r="A297" s="148">
        <f>Données!A297</f>
        <v>5928</v>
      </c>
      <c r="B297" s="160" t="str">
        <f>Données!B297</f>
        <v>Rovray</v>
      </c>
      <c r="C297" s="321">
        <f>Données!C297</f>
        <v>195</v>
      </c>
      <c r="D297" s="318">
        <f>RFS!W297</f>
        <v>407243.93804724229</v>
      </c>
      <c r="E297" s="336"/>
      <c r="F297" s="342">
        <f t="shared" si="36"/>
        <v>2088.4304515243193</v>
      </c>
      <c r="G297" s="336">
        <f t="shared" si="40"/>
        <v>-1251.9842108985231</v>
      </c>
      <c r="H297" s="343">
        <f t="shared" si="37"/>
        <v>-195309.53690016962</v>
      </c>
      <c r="I297" s="313"/>
      <c r="J297" s="344">
        <f t="shared" si="41"/>
        <v>3090.017820243138</v>
      </c>
      <c r="K297" s="344">
        <f t="shared" si="42"/>
        <v>0</v>
      </c>
      <c r="L297" s="343">
        <f t="shared" si="43"/>
        <v>0</v>
      </c>
      <c r="M297" s="336"/>
      <c r="N297" s="345">
        <f>Données!S297</f>
        <v>25240.2</v>
      </c>
      <c r="O297" s="345">
        <f>Données!T297</f>
        <v>0</v>
      </c>
      <c r="P297" s="345">
        <f>Données!U297</f>
        <v>0</v>
      </c>
      <c r="Q297" s="318">
        <f>Données!V297</f>
        <v>8628.0499999999993</v>
      </c>
      <c r="R297" s="302">
        <f t="shared" si="38"/>
        <v>15208.514999999999</v>
      </c>
      <c r="S297" s="322">
        <f t="shared" si="39"/>
        <v>-39370.409510323683</v>
      </c>
      <c r="T297" s="323">
        <f t="shared" si="44"/>
        <v>-24161.894510323684</v>
      </c>
    </row>
    <row r="298" spans="1:20" x14ac:dyDescent="0.25">
      <c r="A298" s="148">
        <f>Données!A298</f>
        <v>5929</v>
      </c>
      <c r="B298" s="160" t="str">
        <f>Données!B298</f>
        <v>Suchy</v>
      </c>
      <c r="C298" s="321">
        <f>Données!C298</f>
        <v>670</v>
      </c>
      <c r="D298" s="318">
        <f>RFS!W298</f>
        <v>1554374.2045890018</v>
      </c>
      <c r="E298" s="336"/>
      <c r="F298" s="342">
        <f t="shared" si="36"/>
        <v>2319.9614993865698</v>
      </c>
      <c r="G298" s="336">
        <f t="shared" si="40"/>
        <v>-1020.4531630362726</v>
      </c>
      <c r="H298" s="343">
        <f t="shared" si="37"/>
        <v>-546962.89538744208</v>
      </c>
      <c r="I298" s="313"/>
      <c r="J298" s="344">
        <f t="shared" si="41"/>
        <v>3136.3240298155879</v>
      </c>
      <c r="K298" s="344">
        <f t="shared" si="42"/>
        <v>0</v>
      </c>
      <c r="L298" s="343">
        <f t="shared" si="43"/>
        <v>0</v>
      </c>
      <c r="M298" s="336"/>
      <c r="N298" s="345">
        <f>Données!S298</f>
        <v>71871.45</v>
      </c>
      <c r="O298" s="345">
        <f>Données!T298</f>
        <v>0</v>
      </c>
      <c r="P298" s="345">
        <f>Données!U298</f>
        <v>78157.55</v>
      </c>
      <c r="Q298" s="318">
        <f>Données!V298</f>
        <v>24185.65</v>
      </c>
      <c r="R298" s="302">
        <f t="shared" si="38"/>
        <v>82270.195000000007</v>
      </c>
      <c r="S298" s="322">
        <f t="shared" si="39"/>
        <v>-135272.68908675318</v>
      </c>
      <c r="T298" s="323">
        <f t="shared" si="44"/>
        <v>-53002.49408675317</v>
      </c>
    </row>
    <row r="299" spans="1:20" x14ac:dyDescent="0.25">
      <c r="A299" s="148">
        <f>Données!A299</f>
        <v>5930</v>
      </c>
      <c r="B299" s="160" t="str">
        <f>Données!B299</f>
        <v>Suscévaz</v>
      </c>
      <c r="C299" s="321">
        <f>Données!C299</f>
        <v>237</v>
      </c>
      <c r="D299" s="318">
        <f>RFS!W299</f>
        <v>347719.70211514324</v>
      </c>
      <c r="E299" s="336"/>
      <c r="F299" s="342">
        <f t="shared" si="36"/>
        <v>1467.1717388824609</v>
      </c>
      <c r="G299" s="336">
        <f t="shared" si="40"/>
        <v>-1873.2429235403815</v>
      </c>
      <c r="H299" s="343">
        <f t="shared" si="37"/>
        <v>-355166.85830325633</v>
      </c>
      <c r="I299" s="313"/>
      <c r="J299" s="344">
        <f t="shared" si="41"/>
        <v>2965.7660777147662</v>
      </c>
      <c r="K299" s="344">
        <f t="shared" si="42"/>
        <v>-40.607118465790336</v>
      </c>
      <c r="L299" s="343">
        <f t="shared" si="43"/>
        <v>-9624</v>
      </c>
      <c r="M299" s="336"/>
      <c r="N299" s="345">
        <f>Données!S299</f>
        <v>26417.65</v>
      </c>
      <c r="O299" s="345">
        <f>Données!T299</f>
        <v>0</v>
      </c>
      <c r="P299" s="345">
        <f>Données!U299</f>
        <v>5748.85</v>
      </c>
      <c r="Q299" s="318">
        <f>Données!V299</f>
        <v>0</v>
      </c>
      <c r="R299" s="302">
        <f t="shared" si="38"/>
        <v>16083.25</v>
      </c>
      <c r="S299" s="322">
        <f t="shared" si="39"/>
        <v>-47850.190020239555</v>
      </c>
      <c r="T299" s="323">
        <f t="shared" si="44"/>
        <v>-31766.940020239555</v>
      </c>
    </row>
    <row r="300" spans="1:20" x14ac:dyDescent="0.25">
      <c r="A300" s="148">
        <f>Données!A300</f>
        <v>5931</v>
      </c>
      <c r="B300" s="160" t="str">
        <f>Données!B300</f>
        <v>Treycovagnes</v>
      </c>
      <c r="C300" s="321">
        <f>Données!C300</f>
        <v>513</v>
      </c>
      <c r="D300" s="318">
        <f>RFS!W300</f>
        <v>1121642.3648188808</v>
      </c>
      <c r="E300" s="336"/>
      <c r="F300" s="342">
        <f t="shared" si="36"/>
        <v>2186.4373583214051</v>
      </c>
      <c r="G300" s="336">
        <f t="shared" si="40"/>
        <v>-1153.9773041014373</v>
      </c>
      <c r="H300" s="343">
        <f t="shared" si="37"/>
        <v>-473592.28560322989</v>
      </c>
      <c r="I300" s="313"/>
      <c r="J300" s="344">
        <f t="shared" si="41"/>
        <v>3109.6192016025552</v>
      </c>
      <c r="K300" s="344">
        <f t="shared" si="42"/>
        <v>0</v>
      </c>
      <c r="L300" s="343">
        <f t="shared" si="43"/>
        <v>0</v>
      </c>
      <c r="M300" s="336"/>
      <c r="N300" s="345">
        <f>Données!S300</f>
        <v>21553.95</v>
      </c>
      <c r="O300" s="345">
        <f>Données!T300</f>
        <v>0</v>
      </c>
      <c r="P300" s="345">
        <f>Données!U300</f>
        <v>23257.3</v>
      </c>
      <c r="Q300" s="318">
        <f>Données!V300</f>
        <v>25861.200000000001</v>
      </c>
      <c r="R300" s="302">
        <f t="shared" si="38"/>
        <v>30163.985000000001</v>
      </c>
      <c r="S300" s="322">
        <f t="shared" si="39"/>
        <v>-103574.46194254384</v>
      </c>
      <c r="T300" s="323">
        <f t="shared" si="44"/>
        <v>-73410.476942543843</v>
      </c>
    </row>
    <row r="301" spans="1:20" x14ac:dyDescent="0.25">
      <c r="A301" s="148">
        <f>Données!A301</f>
        <v>5932</v>
      </c>
      <c r="B301" s="160" t="str">
        <f>Données!B301</f>
        <v>Ursins</v>
      </c>
      <c r="C301" s="321">
        <f>Données!C301</f>
        <v>233</v>
      </c>
      <c r="D301" s="318">
        <f>RFS!W301</f>
        <v>631268.52148910041</v>
      </c>
      <c r="E301" s="336"/>
      <c r="F301" s="342">
        <f t="shared" si="36"/>
        <v>2709.3069591806884</v>
      </c>
      <c r="G301" s="336">
        <f t="shared" si="40"/>
        <v>-631.107703242154</v>
      </c>
      <c r="H301" s="343">
        <f t="shared" si="37"/>
        <v>-117638.4758843375</v>
      </c>
      <c r="I301" s="313"/>
      <c r="J301" s="344">
        <f t="shared" si="41"/>
        <v>3214.1931217744113</v>
      </c>
      <c r="K301" s="344">
        <f t="shared" si="42"/>
        <v>0</v>
      </c>
      <c r="L301" s="343">
        <f t="shared" si="43"/>
        <v>0</v>
      </c>
      <c r="M301" s="336"/>
      <c r="N301" s="345">
        <f>Données!S301</f>
        <v>0</v>
      </c>
      <c r="O301" s="345">
        <f>Données!T301</f>
        <v>0</v>
      </c>
      <c r="P301" s="345">
        <f>Données!U301</f>
        <v>0</v>
      </c>
      <c r="Q301" s="318">
        <f>Données!V301</f>
        <v>0</v>
      </c>
      <c r="R301" s="302">
        <f t="shared" si="38"/>
        <v>0</v>
      </c>
      <c r="S301" s="322">
        <f t="shared" si="39"/>
        <v>-47042.59187643804</v>
      </c>
      <c r="T301" s="323">
        <f t="shared" si="44"/>
        <v>-47042.59187643804</v>
      </c>
    </row>
    <row r="302" spans="1:20" x14ac:dyDescent="0.25">
      <c r="A302" s="148">
        <f>Données!A302</f>
        <v>5933</v>
      </c>
      <c r="B302" s="160" t="str">
        <f>Données!B302</f>
        <v>Valeyres-sous-Montagny</v>
      </c>
      <c r="C302" s="321">
        <f>Données!C302</f>
        <v>706</v>
      </c>
      <c r="D302" s="318">
        <f>RFS!W302</f>
        <v>1577840.1638128704</v>
      </c>
      <c r="E302" s="336"/>
      <c r="F302" s="342">
        <f t="shared" si="36"/>
        <v>2234.9010818879183</v>
      </c>
      <c r="G302" s="336">
        <f t="shared" si="40"/>
        <v>-1105.5135805349241</v>
      </c>
      <c r="H302" s="343">
        <f t="shared" si="37"/>
        <v>-624394.07028612518</v>
      </c>
      <c r="I302" s="313"/>
      <c r="J302" s="344">
        <f t="shared" si="41"/>
        <v>3119.3119463158578</v>
      </c>
      <c r="K302" s="344">
        <f t="shared" si="42"/>
        <v>0</v>
      </c>
      <c r="L302" s="343">
        <f t="shared" si="43"/>
        <v>0</v>
      </c>
      <c r="M302" s="336"/>
      <c r="N302" s="345">
        <f>Données!S302</f>
        <v>29323.45</v>
      </c>
      <c r="O302" s="345">
        <f>Données!T302</f>
        <v>8741.6</v>
      </c>
      <c r="P302" s="345">
        <f>Données!U302</f>
        <v>42438.95</v>
      </c>
      <c r="Q302" s="318">
        <f>Données!V302</f>
        <v>13060.2</v>
      </c>
      <c r="R302" s="302">
        <f t="shared" si="38"/>
        <v>44170.06</v>
      </c>
      <c r="S302" s="322">
        <f t="shared" si="39"/>
        <v>-142541.07238096677</v>
      </c>
      <c r="T302" s="323">
        <f t="shared" si="44"/>
        <v>-98371.012380966771</v>
      </c>
    </row>
    <row r="303" spans="1:20" x14ac:dyDescent="0.25">
      <c r="A303" s="148">
        <f>Données!A303</f>
        <v>5934</v>
      </c>
      <c r="B303" s="160" t="str">
        <f>Données!B303</f>
        <v>Valeyres-sous-Ursins</v>
      </c>
      <c r="C303" s="321">
        <f>Données!C303</f>
        <v>236</v>
      </c>
      <c r="D303" s="318">
        <f>RFS!W303</f>
        <v>582396.80572053802</v>
      </c>
      <c r="E303" s="336"/>
      <c r="F303" s="342">
        <f t="shared" si="36"/>
        <v>2467.7830750870253</v>
      </c>
      <c r="G303" s="336">
        <f t="shared" si="40"/>
        <v>-872.63158733581713</v>
      </c>
      <c r="H303" s="343">
        <f t="shared" si="37"/>
        <v>-164752.84368900227</v>
      </c>
      <c r="I303" s="313"/>
      <c r="J303" s="344">
        <f t="shared" si="41"/>
        <v>3165.8883449556788</v>
      </c>
      <c r="K303" s="344">
        <f t="shared" si="42"/>
        <v>0</v>
      </c>
      <c r="L303" s="343">
        <f t="shared" si="43"/>
        <v>0</v>
      </c>
      <c r="M303" s="336"/>
      <c r="N303" s="345">
        <f>Données!S303</f>
        <v>41305</v>
      </c>
      <c r="O303" s="345">
        <f>Données!T303</f>
        <v>6358.8</v>
      </c>
      <c r="P303" s="345">
        <f>Données!U303</f>
        <v>47745.8</v>
      </c>
      <c r="Q303" s="318">
        <f>Données!V303</f>
        <v>3526.6</v>
      </c>
      <c r="R303" s="302">
        <f t="shared" si="38"/>
        <v>48762.780000000006</v>
      </c>
      <c r="S303" s="322">
        <f t="shared" si="39"/>
        <v>-47648.290484289173</v>
      </c>
      <c r="T303" s="323">
        <f t="shared" si="44"/>
        <v>1114.4895157108331</v>
      </c>
    </row>
    <row r="304" spans="1:20" x14ac:dyDescent="0.25">
      <c r="A304" s="148">
        <f>Données!A304</f>
        <v>5935</v>
      </c>
      <c r="B304" s="160" t="str">
        <f>Données!B304</f>
        <v>Villars-Epeney</v>
      </c>
      <c r="C304" s="321">
        <f>Données!C304</f>
        <v>108</v>
      </c>
      <c r="D304" s="318">
        <f>RFS!W304</f>
        <v>349616.82739071042</v>
      </c>
      <c r="E304" s="336"/>
      <c r="F304" s="342">
        <f t="shared" si="36"/>
        <v>3237.1928462102815</v>
      </c>
      <c r="G304" s="336">
        <f t="shared" si="40"/>
        <v>-103.22181621256095</v>
      </c>
      <c r="H304" s="343">
        <f t="shared" si="37"/>
        <v>-8918.364920765267</v>
      </c>
      <c r="I304" s="313"/>
      <c r="J304" s="344">
        <f t="shared" si="41"/>
        <v>3319.7702991803303</v>
      </c>
      <c r="K304" s="344">
        <f t="shared" si="42"/>
        <v>0</v>
      </c>
      <c r="L304" s="343">
        <f t="shared" si="43"/>
        <v>0</v>
      </c>
      <c r="M304" s="336"/>
      <c r="N304" s="345">
        <f>Données!S304</f>
        <v>29920</v>
      </c>
      <c r="O304" s="345">
        <f>Données!T304</f>
        <v>0</v>
      </c>
      <c r="P304" s="345">
        <f>Données!U304</f>
        <v>22143.3</v>
      </c>
      <c r="Q304" s="318">
        <f>Données!V304</f>
        <v>0</v>
      </c>
      <c r="R304" s="302">
        <f t="shared" si="38"/>
        <v>26031.65</v>
      </c>
      <c r="S304" s="322">
        <f t="shared" si="39"/>
        <v>-21805.14988264081</v>
      </c>
      <c r="T304" s="323">
        <f t="shared" si="44"/>
        <v>4226.5001173591918</v>
      </c>
    </row>
    <row r="305" spans="1:20" x14ac:dyDescent="0.25">
      <c r="A305" s="148">
        <f>Données!A305</f>
        <v>5937</v>
      </c>
      <c r="B305" s="160" t="str">
        <f>Données!B305</f>
        <v>Vugelles-La Mothe</v>
      </c>
      <c r="C305" s="321">
        <f>Données!C305</f>
        <v>147</v>
      </c>
      <c r="D305" s="318">
        <f>RFS!W305</f>
        <v>299642.86388909217</v>
      </c>
      <c r="E305" s="336"/>
      <c r="F305" s="342">
        <f t="shared" si="36"/>
        <v>2038.3868291774977</v>
      </c>
      <c r="G305" s="336">
        <f t="shared" si="40"/>
        <v>-1302.0278332453447</v>
      </c>
      <c r="H305" s="343">
        <f t="shared" si="37"/>
        <v>-153118.47318965252</v>
      </c>
      <c r="I305" s="313"/>
      <c r="J305" s="344">
        <f t="shared" si="41"/>
        <v>3080.0090957737734</v>
      </c>
      <c r="K305" s="344">
        <f t="shared" si="42"/>
        <v>0</v>
      </c>
      <c r="L305" s="343">
        <f t="shared" si="43"/>
        <v>0</v>
      </c>
      <c r="M305" s="336"/>
      <c r="N305" s="345">
        <f>Données!S305</f>
        <v>0</v>
      </c>
      <c r="O305" s="345">
        <f>Données!T305</f>
        <v>0</v>
      </c>
      <c r="P305" s="345">
        <f>Données!U305</f>
        <v>0</v>
      </c>
      <c r="Q305" s="318">
        <f>Données!V305</f>
        <v>2747.5</v>
      </c>
      <c r="R305" s="302">
        <f t="shared" si="38"/>
        <v>824.25</v>
      </c>
      <c r="S305" s="322">
        <f t="shared" si="39"/>
        <v>-29679.231784705546</v>
      </c>
      <c r="T305" s="323">
        <f t="shared" si="44"/>
        <v>-28854.981784705546</v>
      </c>
    </row>
    <row r="306" spans="1:20" x14ac:dyDescent="0.25">
      <c r="A306" s="148">
        <f>Données!A306</f>
        <v>5938</v>
      </c>
      <c r="B306" s="160" t="str">
        <f>Données!B306</f>
        <v>Yverdon-les-Bains</v>
      </c>
      <c r="C306" s="321">
        <f>Données!C306</f>
        <v>30332</v>
      </c>
      <c r="D306" s="318">
        <f>RFS!W306</f>
        <v>54854913.770072959</v>
      </c>
      <c r="E306" s="336"/>
      <c r="F306" s="342">
        <f t="shared" si="36"/>
        <v>1808.4832444307319</v>
      </c>
      <c r="G306" s="336">
        <f t="shared" si="40"/>
        <v>-1531.9314179921105</v>
      </c>
      <c r="H306" s="343">
        <f t="shared" si="37"/>
        <v>-37173235.016429357</v>
      </c>
      <c r="I306" s="313"/>
      <c r="J306" s="344">
        <f t="shared" si="41"/>
        <v>3034.0283788244205</v>
      </c>
      <c r="K306" s="344">
        <f t="shared" si="42"/>
        <v>0</v>
      </c>
      <c r="L306" s="343">
        <f t="shared" si="43"/>
        <v>0</v>
      </c>
      <c r="M306" s="336"/>
      <c r="N306" s="345">
        <f>Données!S306</f>
        <v>3580501.4</v>
      </c>
      <c r="O306" s="345">
        <f>Données!T306</f>
        <v>1484279.4</v>
      </c>
      <c r="P306" s="345">
        <f>Données!U306</f>
        <v>1313721.3</v>
      </c>
      <c r="Q306" s="318">
        <f>Données!V306</f>
        <v>6037099.0499999998</v>
      </c>
      <c r="R306" s="302">
        <f t="shared" si="38"/>
        <v>5000380.7649999997</v>
      </c>
      <c r="S306" s="322">
        <f t="shared" si="39"/>
        <v>-6124016.7244468611</v>
      </c>
      <c r="T306" s="323">
        <f t="shared" si="44"/>
        <v>-1123635.9594468614</v>
      </c>
    </row>
    <row r="307" spans="1:20" x14ac:dyDescent="0.25">
      <c r="A307" s="150">
        <f>Données!A307</f>
        <v>5939</v>
      </c>
      <c r="B307" s="161" t="str">
        <f>Données!B307</f>
        <v>Yvonand</v>
      </c>
      <c r="C307" s="346">
        <f>Données!C307</f>
        <v>3525</v>
      </c>
      <c r="D307" s="347">
        <f>RFS!W307</f>
        <v>6516897.5560146468</v>
      </c>
      <c r="E307" s="336"/>
      <c r="F307" s="348">
        <f t="shared" si="36"/>
        <v>1848.7652641176303</v>
      </c>
      <c r="G307" s="349">
        <f t="shared" si="40"/>
        <v>-1491.6493983052121</v>
      </c>
      <c r="H307" s="350">
        <f t="shared" si="37"/>
        <v>-4206451.3032206977</v>
      </c>
      <c r="I307" s="313"/>
      <c r="J307" s="351">
        <f t="shared" si="41"/>
        <v>3042.0847827617999</v>
      </c>
      <c r="K307" s="351">
        <f t="shared" si="42"/>
        <v>0</v>
      </c>
      <c r="L307" s="350">
        <f t="shared" si="43"/>
        <v>0</v>
      </c>
      <c r="M307" s="336"/>
      <c r="N307" s="345">
        <f>Données!S307</f>
        <v>254608.9</v>
      </c>
      <c r="O307" s="345">
        <f>Données!T307</f>
        <v>98940.5</v>
      </c>
      <c r="P307" s="345">
        <f>Données!U307</f>
        <v>289850.95</v>
      </c>
      <c r="Q307" s="318">
        <f>Données!V307</f>
        <v>249640.3</v>
      </c>
      <c r="R307" s="327">
        <f t="shared" si="38"/>
        <v>396592.26500000001</v>
      </c>
      <c r="S307" s="328">
        <f t="shared" si="39"/>
        <v>-711695.86422508198</v>
      </c>
      <c r="T307" s="329">
        <f t="shared" si="44"/>
        <v>-315103.59922508197</v>
      </c>
    </row>
    <row r="308" spans="1:20" x14ac:dyDescent="0.25">
      <c r="A308" s="540" t="s">
        <v>25</v>
      </c>
      <c r="B308" s="541"/>
      <c r="C308" s="327">
        <f>SUM(C8:C307)</f>
        <v>855749</v>
      </c>
      <c r="D308" s="327">
        <f>SUM(D8:D307)</f>
        <v>2858556506.9536848</v>
      </c>
      <c r="E308" s="336"/>
      <c r="F308" s="348">
        <f>D308/C308</f>
        <v>3340.4146624228424</v>
      </c>
      <c r="G308" s="327" t="s">
        <v>26</v>
      </c>
      <c r="H308" s="350">
        <f>SUM(H8:H307)</f>
        <v>-4.8521906137466431E-7</v>
      </c>
      <c r="I308" s="313"/>
      <c r="J308" s="327">
        <f>SUMPRODUCT(J8:J307,C8:C307)/C308</f>
        <v>3340.4146624228406</v>
      </c>
      <c r="K308" s="327" t="s">
        <v>26</v>
      </c>
      <c r="L308" s="350">
        <f>SUM(L8:L307)</f>
        <v>-2013825</v>
      </c>
      <c r="M308" s="336"/>
      <c r="N308" s="352">
        <f t="shared" ref="N308:P308" si="45">SUM(N8:N307)</f>
        <v>105768003.59999998</v>
      </c>
      <c r="O308" s="352">
        <f t="shared" si="45"/>
        <v>94809315.900000036</v>
      </c>
      <c r="P308" s="352">
        <f t="shared" si="45"/>
        <v>86307253.050000042</v>
      </c>
      <c r="Q308" s="352">
        <f>SUM(Q8:Q307)</f>
        <v>99276799.049999937</v>
      </c>
      <c r="R308" s="327">
        <f>SUM(R8:R307)</f>
        <v>173225325.98999992</v>
      </c>
      <c r="S308" s="327">
        <f>SUM(S8:S307)</f>
        <v>-172775325.98999986</v>
      </c>
      <c r="T308" s="353">
        <f>SUM(T8:T307)</f>
        <v>450000.00000009476</v>
      </c>
    </row>
    <row r="309" spans="1:20" x14ac:dyDescent="0.25">
      <c r="H309" s="21"/>
    </row>
  </sheetData>
  <sheetProtection sheet="1" objects="1" scenarios="1"/>
  <mergeCells count="12">
    <mergeCell ref="F2:G2"/>
    <mergeCell ref="A308:B308"/>
    <mergeCell ref="F3:H4"/>
    <mergeCell ref="D1:E1"/>
    <mergeCell ref="N3:T4"/>
    <mergeCell ref="N5:Q5"/>
    <mergeCell ref="A6:A7"/>
    <mergeCell ref="B6:B7"/>
    <mergeCell ref="C6:C7"/>
    <mergeCell ref="D6:D7"/>
    <mergeCell ref="J3:K4"/>
    <mergeCell ref="L3:L4"/>
  </mergeCells>
  <conditionalFormatting sqref="D8:E307">
    <cfRule type="cellIs" dxfId="46" priority="59" operator="lessThan">
      <formula>#REF!</formula>
    </cfRule>
  </conditionalFormatting>
  <conditionalFormatting sqref="H6">
    <cfRule type="cellIs" dxfId="45" priority="9" operator="equal">
      <formula>"ERREUR"</formula>
    </cfRule>
    <cfRule type="cellIs" dxfId="44" priority="10" operator="equal">
      <formula>"OK"</formula>
    </cfRule>
  </conditionalFormatting>
  <conditionalFormatting sqref="T6">
    <cfRule type="cellIs" dxfId="43" priority="3" operator="equal">
      <formula>$S$6</formula>
    </cfRule>
    <cfRule type="cellIs" dxfId="42" priority="4" operator="notEqual">
      <formula>$S$6</formula>
    </cfRule>
  </conditionalFormatting>
  <conditionalFormatting sqref="J6">
    <cfRule type="cellIs" dxfId="41" priority="1" operator="notEqual">
      <formula>$F$6</formula>
    </cfRule>
    <cfRule type="cellIs" dxfId="40" priority="2" operator="equal">
      <formula>$F$6</formula>
    </cfRule>
  </conditionalFormatting>
  <hyperlinks>
    <hyperlink ref="D1:E1" location="RFS!A1" display="← Précédent" xr:uid="{C00B40A9-F3C7-4FCF-9810-417935930D0E}"/>
    <hyperlink ref="F1" location="'Table des matières'!A1" display="Table des matières" xr:uid="{E499C7C6-5E34-448D-8D9C-DFC13C549E84}"/>
    <hyperlink ref="G1" location="'Besoins structurels'!A1" display="Suivant →" xr:uid="{907C2DB0-78F2-4FBA-B9FB-6FE7A21FF50F}"/>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6C21-47FB-43A2-B89C-DBA09E4D3DB1}">
  <sheetPr codeName="Feuil8">
    <tabColor rgb="FFCCECFF"/>
    <pageSetUpPr autoPageBreaks="0"/>
  </sheetPr>
  <dimension ref="A1:Y309"/>
  <sheetViews>
    <sheetView zoomScale="90" zoomScaleNormal="90" workbookViewId="0">
      <pane ySplit="7" topLeftCell="A8" activePane="bottomLeft" state="frozen"/>
      <selection pane="bottomLeft"/>
    </sheetView>
  </sheetViews>
  <sheetFormatPr baseColWidth="10" defaultRowHeight="15" x14ac:dyDescent="0.25"/>
  <cols>
    <col min="1" max="1" width="7.140625" style="13" customWidth="1"/>
    <col min="2" max="2" width="23.28515625" style="13" customWidth="1"/>
    <col min="3" max="3" width="12.140625" style="13" customWidth="1"/>
    <col min="4" max="4" width="4.28515625" style="13" customWidth="1"/>
    <col min="5" max="7" width="11.42578125" style="13" customWidth="1"/>
    <col min="8" max="8" width="14" style="13" customWidth="1"/>
    <col min="9" max="9" width="14.140625" style="13" customWidth="1"/>
    <col min="10" max="10" width="4.28515625" style="13" customWidth="1"/>
    <col min="11" max="11" width="11.42578125" style="13" customWidth="1"/>
    <col min="12" max="12" width="18.5703125" style="13" customWidth="1"/>
    <col min="13" max="13" width="16.85546875" style="13" customWidth="1"/>
    <col min="14" max="14" width="15.28515625" style="13" customWidth="1"/>
    <col min="15" max="15" width="4.28515625" style="13" customWidth="1"/>
    <col min="16" max="16" width="9.28515625" style="13" customWidth="1"/>
    <col min="17" max="17" width="9.85546875" style="13" customWidth="1"/>
    <col min="18" max="18" width="10.5703125" style="13" customWidth="1"/>
    <col min="19" max="19" width="11.85546875" style="13" customWidth="1"/>
    <col min="20" max="20" width="15.7109375" style="13" customWidth="1"/>
    <col min="21" max="21" width="14.28515625" style="13" customWidth="1"/>
    <col min="22" max="22" width="14.5703125" style="13" customWidth="1"/>
    <col min="23" max="23" width="7.7109375" style="13" customWidth="1"/>
    <col min="24" max="24" width="11.140625" style="13" customWidth="1"/>
    <col min="25" max="25" width="11.28515625" style="13" customWidth="1"/>
    <col min="26" max="26" width="4.28515625" style="13" customWidth="1"/>
    <col min="27" max="27" width="13.7109375" style="13" customWidth="1"/>
    <col min="28" max="16384" width="11.42578125" style="13"/>
  </cols>
  <sheetData>
    <row r="1" spans="1:25" ht="27" customHeight="1" x14ac:dyDescent="0.4">
      <c r="A1" s="12" t="s">
        <v>32</v>
      </c>
      <c r="F1" s="131" t="s">
        <v>442</v>
      </c>
      <c r="G1" s="133" t="s">
        <v>443</v>
      </c>
      <c r="H1" s="134" t="s">
        <v>444</v>
      </c>
      <c r="I1" s="106"/>
      <c r="J1" s="19"/>
      <c r="L1" s="79"/>
      <c r="O1" s="19"/>
    </row>
    <row r="2" spans="1:25" ht="15" customHeight="1" x14ac:dyDescent="0.25">
      <c r="A2" s="63" t="str">
        <f>_xlfn.CONCAT(Paramètres!M5," ",Paramètres!N5)</f>
        <v>Décompte prévisionnel 2026</v>
      </c>
      <c r="I2" s="270" t="str">
        <f>_xlfn.CONCAT(COUNTIF(I8:I307,"&lt;0")," communes")</f>
        <v>132 communes</v>
      </c>
      <c r="J2" s="19"/>
      <c r="M2" s="32"/>
      <c r="N2" s="107" t="str">
        <f>_xlfn.CONCAT(COUNTIF(N8:N307,"&lt;0")," communes")</f>
        <v>101 communes</v>
      </c>
      <c r="O2" s="18"/>
      <c r="V2" s="270" t="str">
        <f>_xlfn.CONCAT(COUNTIF(V8:V307,"&lt;0")," communes")</f>
        <v>100 communes</v>
      </c>
    </row>
    <row r="3" spans="1:25" ht="15" customHeight="1" x14ac:dyDescent="0.25">
      <c r="A3" s="567" t="s">
        <v>489</v>
      </c>
      <c r="B3" s="568"/>
      <c r="C3" s="571">
        <f>I308+N308+V308</f>
        <v>-28983512</v>
      </c>
      <c r="D3" s="288"/>
      <c r="E3" s="574" t="s">
        <v>30</v>
      </c>
      <c r="F3" s="575"/>
      <c r="G3" s="576"/>
      <c r="H3" s="186" t="s">
        <v>46</v>
      </c>
      <c r="I3" s="166">
        <f>Paramètres!C16</f>
        <v>1.2</v>
      </c>
      <c r="J3" s="18"/>
      <c r="K3" s="583" t="s">
        <v>414</v>
      </c>
      <c r="L3" s="584"/>
      <c r="M3" s="496" t="s">
        <v>416</v>
      </c>
      <c r="N3" s="573" t="str">
        <f>_xlfn.CONCAT(Paramètres!G19," m")</f>
        <v>730 m</v>
      </c>
      <c r="O3" s="28"/>
      <c r="P3" s="574" t="s">
        <v>43</v>
      </c>
      <c r="Q3" s="575"/>
      <c r="R3" s="575"/>
      <c r="S3" s="575"/>
      <c r="T3" s="576"/>
      <c r="U3" s="238" t="s">
        <v>46</v>
      </c>
      <c r="V3" s="168">
        <f>Paramètres!K16</f>
        <v>1.2</v>
      </c>
    </row>
    <row r="4" spans="1:25" ht="15" customHeight="1" x14ac:dyDescent="0.25">
      <c r="A4" s="569"/>
      <c r="B4" s="570"/>
      <c r="C4" s="572"/>
      <c r="E4" s="577"/>
      <c r="F4" s="578"/>
      <c r="G4" s="579"/>
      <c r="H4" s="237" t="s">
        <v>47</v>
      </c>
      <c r="I4" s="463">
        <f>MEDIAN(F8:F307)*I3</f>
        <v>0.78108803099118351</v>
      </c>
      <c r="J4" s="28"/>
      <c r="K4" s="585"/>
      <c r="L4" s="586"/>
      <c r="M4" s="496"/>
      <c r="N4" s="573"/>
      <c r="O4" s="17"/>
      <c r="P4" s="577"/>
      <c r="Q4" s="578"/>
      <c r="R4" s="578"/>
      <c r="S4" s="578"/>
      <c r="T4" s="579"/>
      <c r="U4" s="186" t="s">
        <v>48</v>
      </c>
      <c r="V4" s="109">
        <f>R308/C308*V3</f>
        <v>0.13642308667611644</v>
      </c>
    </row>
    <row r="5" spans="1:25" ht="15" customHeight="1" x14ac:dyDescent="0.25">
      <c r="A5" s="289"/>
      <c r="B5" s="289"/>
      <c r="C5" s="288"/>
      <c r="D5" s="20"/>
      <c r="E5" s="580"/>
      <c r="F5" s="581"/>
      <c r="G5" s="582"/>
      <c r="H5" s="237" t="s">
        <v>28</v>
      </c>
      <c r="I5" s="165">
        <f>Paramètres!C18</f>
        <v>106.3303659742829</v>
      </c>
      <c r="J5" s="19"/>
      <c r="K5" s="587"/>
      <c r="L5" s="588"/>
      <c r="M5" s="186" t="s">
        <v>28</v>
      </c>
      <c r="N5" s="167">
        <f>Paramètres!G18</f>
        <v>584.81701285855593</v>
      </c>
      <c r="O5" s="19"/>
      <c r="P5" s="580"/>
      <c r="Q5" s="581"/>
      <c r="R5" s="581"/>
      <c r="S5" s="581"/>
      <c r="T5" s="582"/>
      <c r="U5" s="186" t="s">
        <v>28</v>
      </c>
      <c r="V5" s="165">
        <f>Paramètres!K18</f>
        <v>4253.2146389713153</v>
      </c>
    </row>
    <row r="6" spans="1:25" ht="15" customHeight="1" x14ac:dyDescent="0.25">
      <c r="A6" s="560" t="s">
        <v>0</v>
      </c>
      <c r="B6" s="560" t="s">
        <v>1</v>
      </c>
      <c r="C6" s="519" t="s">
        <v>29</v>
      </c>
      <c r="D6" s="29"/>
      <c r="E6" s="562" t="s">
        <v>30</v>
      </c>
      <c r="F6" s="562" t="s">
        <v>434</v>
      </c>
      <c r="G6" s="562" t="s">
        <v>52</v>
      </c>
      <c r="H6" s="562" t="s">
        <v>45</v>
      </c>
      <c r="I6" s="562" t="s">
        <v>484</v>
      </c>
      <c r="J6" s="29"/>
      <c r="K6" s="590" t="s">
        <v>414</v>
      </c>
      <c r="L6" s="562" t="s">
        <v>433</v>
      </c>
      <c r="M6" s="562" t="s">
        <v>582</v>
      </c>
      <c r="N6" s="562" t="s">
        <v>484</v>
      </c>
      <c r="O6" s="29"/>
      <c r="P6" s="169">
        <v>1</v>
      </c>
      <c r="Q6" s="170">
        <f>Paramètres!K19</f>
        <v>0.15</v>
      </c>
      <c r="R6" s="562" t="s">
        <v>43</v>
      </c>
      <c r="S6" s="562" t="s">
        <v>435</v>
      </c>
      <c r="T6" s="562" t="s">
        <v>53</v>
      </c>
      <c r="U6" s="562" t="s">
        <v>583</v>
      </c>
      <c r="V6" s="562" t="s">
        <v>484</v>
      </c>
      <c r="W6" s="592" t="s">
        <v>554</v>
      </c>
      <c r="X6" s="564" t="s">
        <v>555</v>
      </c>
      <c r="Y6" s="564" t="s">
        <v>556</v>
      </c>
    </row>
    <row r="7" spans="1:25" ht="37.5" customHeight="1" x14ac:dyDescent="0.25">
      <c r="A7" s="561"/>
      <c r="B7" s="561"/>
      <c r="C7" s="520"/>
      <c r="D7" s="30"/>
      <c r="E7" s="563"/>
      <c r="F7" s="563"/>
      <c r="G7" s="563"/>
      <c r="H7" s="563"/>
      <c r="I7" s="589"/>
      <c r="J7" s="29"/>
      <c r="K7" s="591"/>
      <c r="L7" s="563"/>
      <c r="M7" s="589"/>
      <c r="N7" s="589"/>
      <c r="O7" s="29"/>
      <c r="P7" s="253" t="s">
        <v>42</v>
      </c>
      <c r="Q7" s="253" t="s">
        <v>395</v>
      </c>
      <c r="R7" s="563"/>
      <c r="S7" s="563"/>
      <c r="T7" s="563"/>
      <c r="U7" s="563"/>
      <c r="V7" s="589"/>
      <c r="W7" s="592"/>
      <c r="X7" s="565"/>
      <c r="Y7" s="566"/>
    </row>
    <row r="8" spans="1:25" x14ac:dyDescent="0.25">
      <c r="A8" s="147">
        <f>Données!A8</f>
        <v>5401</v>
      </c>
      <c r="B8" s="155" t="str">
        <f>Données!B8</f>
        <v>Aigle</v>
      </c>
      <c r="C8" s="312">
        <f>Données!C8</f>
        <v>11780</v>
      </c>
      <c r="D8" s="336"/>
      <c r="E8" s="309">
        <f>Données!X8</f>
        <v>1568</v>
      </c>
      <c r="F8" s="355">
        <f t="shared" ref="F8:F71" si="0">E8/C8</f>
        <v>0.13310696095076402</v>
      </c>
      <c r="G8" s="336">
        <f t="shared" ref="G8:G71" si="1">C8*$I$4</f>
        <v>9201.2170050761415</v>
      </c>
      <c r="H8" s="340">
        <f>IF(E8&gt;G8,E8-G8,0)</f>
        <v>0</v>
      </c>
      <c r="I8" s="356">
        <f>ROUND(-H8*$I$5,0)</f>
        <v>0</v>
      </c>
      <c r="J8" s="357"/>
      <c r="K8" s="358">
        <f>Données!Y8</f>
        <v>1</v>
      </c>
      <c r="L8" s="317">
        <f>Données!Z8</f>
        <v>0.35299999999999998</v>
      </c>
      <c r="M8" s="338">
        <f t="shared" ref="M8:M71" si="2">L8*$N$5</f>
        <v>206.44040553907024</v>
      </c>
      <c r="N8" s="356">
        <f t="shared" ref="N8:N71" si="3">ROUND(-M8*K8,0)</f>
        <v>-206</v>
      </c>
      <c r="O8" s="357"/>
      <c r="P8" s="318">
        <f>Données!AA8</f>
        <v>1415</v>
      </c>
      <c r="Q8" s="359">
        <f>Données!AB8</f>
        <v>29</v>
      </c>
      <c r="R8" s="314">
        <f t="shared" ref="R8:R71" si="4">P8*$P$6+Q8*$Q$6</f>
        <v>1419.35</v>
      </c>
      <c r="S8" s="360">
        <f t="shared" ref="S8:S71" si="5">R8/C8</f>
        <v>0.1204881154499151</v>
      </c>
      <c r="T8" s="340">
        <f t="shared" ref="T8:T71" si="6">$V$4*C8</f>
        <v>1607.0639610446517</v>
      </c>
      <c r="U8" s="340">
        <f>IF(R8&gt;T8,R8-T8,0)</f>
        <v>0</v>
      </c>
      <c r="V8" s="356">
        <f>ROUND(-$V$5*U8,0)</f>
        <v>0</v>
      </c>
      <c r="W8" s="436"/>
      <c r="X8" s="314">
        <f>IF(-Q8*$Q$6*$V$5&gt;V8,-Q8*$Q$6*$V$5,V8)</f>
        <v>0</v>
      </c>
      <c r="Y8" s="315">
        <f>IF(X8&gt;V8,V8-X8,0)</f>
        <v>0</v>
      </c>
    </row>
    <row r="9" spans="1:25" ht="15" customHeight="1" x14ac:dyDescent="0.25">
      <c r="A9" s="148">
        <f>Données!A9</f>
        <v>5402</v>
      </c>
      <c r="B9" s="156" t="str">
        <f>Données!B9</f>
        <v>Bex</v>
      </c>
      <c r="C9" s="321">
        <f>Données!C9</f>
        <v>8806</v>
      </c>
      <c r="D9" s="336"/>
      <c r="E9" s="318">
        <f>Données!X9</f>
        <v>6400</v>
      </c>
      <c r="F9" s="361">
        <f t="shared" si="0"/>
        <v>0.72677719736543267</v>
      </c>
      <c r="G9" s="336">
        <f t="shared" si="1"/>
        <v>6878.2612009083623</v>
      </c>
      <c r="H9" s="344">
        <f t="shared" ref="H9:H72" si="7">IF(E9&gt;G9,E9-G9,0)</f>
        <v>0</v>
      </c>
      <c r="I9" s="362">
        <f t="shared" ref="I9:I72" si="8">ROUND(-H9*$I$5,0)</f>
        <v>0</v>
      </c>
      <c r="J9" s="357"/>
      <c r="K9" s="363">
        <f>Données!Y9</f>
        <v>512</v>
      </c>
      <c r="L9" s="324">
        <f>Données!Z9</f>
        <v>0.7</v>
      </c>
      <c r="M9" s="336">
        <f t="shared" si="2"/>
        <v>409.37190900098915</v>
      </c>
      <c r="N9" s="362">
        <f t="shared" si="3"/>
        <v>-209598</v>
      </c>
      <c r="O9" s="357"/>
      <c r="P9" s="318">
        <f>Données!AA9</f>
        <v>1082</v>
      </c>
      <c r="Q9" s="359">
        <f>Données!AB9</f>
        <v>125</v>
      </c>
      <c r="R9" s="302">
        <f t="shared" si="4"/>
        <v>1100.75</v>
      </c>
      <c r="S9" s="364">
        <f t="shared" si="5"/>
        <v>0.125</v>
      </c>
      <c r="T9" s="344">
        <f t="shared" si="6"/>
        <v>1201.3417012698815</v>
      </c>
      <c r="U9" s="344">
        <f t="shared" ref="U9:U72" si="9">IF(R9&gt;T9,R9-T9,0)</f>
        <v>0</v>
      </c>
      <c r="V9" s="362">
        <f t="shared" ref="V9:V72" si="10">ROUND(-$V$5*U9,0)</f>
        <v>0</v>
      </c>
      <c r="W9" s="436"/>
      <c r="X9" s="302">
        <f t="shared" ref="X9:X72" si="11">IF(-Q9*$Q$6*$V$5&gt;V9,-Q9*$Q$6*$V$5,V9)</f>
        <v>0</v>
      </c>
      <c r="Y9" s="322">
        <f t="shared" ref="Y9:Y72" si="12">IF(X9&gt;V9,V9-X9,0)</f>
        <v>0</v>
      </c>
    </row>
    <row r="10" spans="1:25" x14ac:dyDescent="0.25">
      <c r="A10" s="148">
        <f>Données!A10</f>
        <v>5403</v>
      </c>
      <c r="B10" s="156" t="str">
        <f>Données!B10</f>
        <v>Chessel</v>
      </c>
      <c r="C10" s="321">
        <f>Données!C10</f>
        <v>528</v>
      </c>
      <c r="D10" s="336"/>
      <c r="E10" s="318">
        <f>Données!X10</f>
        <v>330</v>
      </c>
      <c r="F10" s="361">
        <f t="shared" si="0"/>
        <v>0.625</v>
      </c>
      <c r="G10" s="336">
        <f t="shared" si="1"/>
        <v>412.41448036334492</v>
      </c>
      <c r="H10" s="344">
        <f t="shared" si="7"/>
        <v>0</v>
      </c>
      <c r="I10" s="362">
        <f t="shared" si="8"/>
        <v>0</v>
      </c>
      <c r="J10" s="357"/>
      <c r="K10" s="363">
        <f>Données!Y10</f>
        <v>0</v>
      </c>
      <c r="L10" s="324">
        <f>Données!Z10</f>
        <v>2.4E-2</v>
      </c>
      <c r="M10" s="336">
        <f t="shared" si="2"/>
        <v>14.035608308605342</v>
      </c>
      <c r="N10" s="362">
        <f t="shared" si="3"/>
        <v>0</v>
      </c>
      <c r="O10" s="357"/>
      <c r="P10" s="318">
        <f>Données!AA10</f>
        <v>72</v>
      </c>
      <c r="Q10" s="359">
        <f>Données!AB10</f>
        <v>59</v>
      </c>
      <c r="R10" s="302">
        <f t="shared" si="4"/>
        <v>80.849999999999994</v>
      </c>
      <c r="S10" s="364">
        <f t="shared" si="5"/>
        <v>0.15312499999999998</v>
      </c>
      <c r="T10" s="344">
        <f t="shared" si="6"/>
        <v>72.031389764989484</v>
      </c>
      <c r="U10" s="344">
        <f t="shared" si="9"/>
        <v>8.8186102350105102</v>
      </c>
      <c r="V10" s="362">
        <f t="shared" si="10"/>
        <v>-37507</v>
      </c>
      <c r="W10" s="436"/>
      <c r="X10" s="302">
        <f t="shared" si="11"/>
        <v>-37507</v>
      </c>
      <c r="Y10" s="322">
        <f t="shared" si="12"/>
        <v>0</v>
      </c>
    </row>
    <row r="11" spans="1:25" x14ac:dyDescent="0.25">
      <c r="A11" s="148">
        <f>Données!A11</f>
        <v>5404</v>
      </c>
      <c r="B11" s="156" t="str">
        <f>Données!B11</f>
        <v>Corbeyrier</v>
      </c>
      <c r="C11" s="321">
        <f>Données!C11</f>
        <v>452</v>
      </c>
      <c r="D11" s="336"/>
      <c r="E11" s="318">
        <f>Données!X11</f>
        <v>2057</v>
      </c>
      <c r="F11" s="361">
        <f t="shared" si="0"/>
        <v>4.5508849557522124</v>
      </c>
      <c r="G11" s="336">
        <f t="shared" si="1"/>
        <v>353.05179000801496</v>
      </c>
      <c r="H11" s="344">
        <f t="shared" si="7"/>
        <v>1703.9482099919851</v>
      </c>
      <c r="I11" s="362">
        <f t="shared" si="8"/>
        <v>-181181</v>
      </c>
      <c r="J11" s="357"/>
      <c r="K11" s="363">
        <f>Données!Y11</f>
        <v>442</v>
      </c>
      <c r="L11" s="324">
        <f>Données!Z11</f>
        <v>0.66400000000000003</v>
      </c>
      <c r="M11" s="336">
        <f t="shared" si="2"/>
        <v>388.31849653808115</v>
      </c>
      <c r="N11" s="362">
        <f t="shared" si="3"/>
        <v>-171637</v>
      </c>
      <c r="O11" s="357"/>
      <c r="P11" s="318">
        <f>Données!AA11</f>
        <v>43</v>
      </c>
      <c r="Q11" s="359">
        <f>Données!AB11</f>
        <v>31</v>
      </c>
      <c r="R11" s="302">
        <f t="shared" si="4"/>
        <v>47.65</v>
      </c>
      <c r="S11" s="364">
        <f t="shared" si="5"/>
        <v>0.10542035398230089</v>
      </c>
      <c r="T11" s="344">
        <f t="shared" si="6"/>
        <v>61.663235177604633</v>
      </c>
      <c r="U11" s="344">
        <f t="shared" si="9"/>
        <v>0</v>
      </c>
      <c r="V11" s="362">
        <f t="shared" si="10"/>
        <v>0</v>
      </c>
      <c r="W11" s="436"/>
      <c r="X11" s="302">
        <f t="shared" si="11"/>
        <v>0</v>
      </c>
      <c r="Y11" s="322">
        <f t="shared" si="12"/>
        <v>0</v>
      </c>
    </row>
    <row r="12" spans="1:25" x14ac:dyDescent="0.25">
      <c r="A12" s="148">
        <f>Données!A12</f>
        <v>5405</v>
      </c>
      <c r="B12" s="156" t="str">
        <f>Données!B12</f>
        <v>Gryon</v>
      </c>
      <c r="C12" s="321">
        <f>Données!C12</f>
        <v>1525</v>
      </c>
      <c r="D12" s="336"/>
      <c r="E12" s="318">
        <f>Données!X12</f>
        <v>1404</v>
      </c>
      <c r="F12" s="361">
        <f t="shared" si="0"/>
        <v>0.92065573770491804</v>
      </c>
      <c r="G12" s="336">
        <f t="shared" si="1"/>
        <v>1191.1592472615548</v>
      </c>
      <c r="H12" s="344">
        <f t="shared" si="7"/>
        <v>212.84075273844519</v>
      </c>
      <c r="I12" s="362">
        <f t="shared" si="8"/>
        <v>-22631</v>
      </c>
      <c r="J12" s="357"/>
      <c r="K12" s="363">
        <f>Données!Y12</f>
        <v>1525</v>
      </c>
      <c r="L12" s="324">
        <f>Données!Z12</f>
        <v>0.61099999999999999</v>
      </c>
      <c r="M12" s="336">
        <f t="shared" si="2"/>
        <v>357.32319485657769</v>
      </c>
      <c r="N12" s="362">
        <f t="shared" si="3"/>
        <v>-544918</v>
      </c>
      <c r="O12" s="357"/>
      <c r="P12" s="318">
        <f>Données!AA12</f>
        <v>133</v>
      </c>
      <c r="Q12" s="359">
        <f>Données!AB12</f>
        <v>91</v>
      </c>
      <c r="R12" s="302">
        <f t="shared" si="4"/>
        <v>146.65</v>
      </c>
      <c r="S12" s="364">
        <f t="shared" si="5"/>
        <v>9.6163934426229516E-2</v>
      </c>
      <c r="T12" s="344">
        <f t="shared" si="6"/>
        <v>208.04520718107756</v>
      </c>
      <c r="U12" s="344">
        <f t="shared" si="9"/>
        <v>0</v>
      </c>
      <c r="V12" s="362">
        <f t="shared" si="10"/>
        <v>0</v>
      </c>
      <c r="W12" s="436"/>
      <c r="X12" s="302">
        <f t="shared" si="11"/>
        <v>0</v>
      </c>
      <c r="Y12" s="322">
        <f t="shared" si="12"/>
        <v>0</v>
      </c>
    </row>
    <row r="13" spans="1:25" x14ac:dyDescent="0.25">
      <c r="A13" s="148">
        <f>Données!A13</f>
        <v>5406</v>
      </c>
      <c r="B13" s="156" t="str">
        <f>Données!B13</f>
        <v>Lavey-Morcles</v>
      </c>
      <c r="C13" s="321">
        <f>Données!C13</f>
        <v>1014</v>
      </c>
      <c r="D13" s="336"/>
      <c r="E13" s="318">
        <f>Données!X13</f>
        <v>1247</v>
      </c>
      <c r="F13" s="361">
        <f t="shared" si="0"/>
        <v>1.2297830374753451</v>
      </c>
      <c r="G13" s="336">
        <f t="shared" si="1"/>
        <v>792.02326342506012</v>
      </c>
      <c r="H13" s="344">
        <f t="shared" si="7"/>
        <v>454.97673657493988</v>
      </c>
      <c r="I13" s="362">
        <f t="shared" si="8"/>
        <v>-48378</v>
      </c>
      <c r="J13" s="357"/>
      <c r="K13" s="363">
        <f>Données!Y13</f>
        <v>19</v>
      </c>
      <c r="L13" s="324">
        <f>Données!Z13</f>
        <v>0.82699999999999996</v>
      </c>
      <c r="M13" s="336">
        <f t="shared" si="2"/>
        <v>483.64366963402574</v>
      </c>
      <c r="N13" s="362">
        <f t="shared" si="3"/>
        <v>-9189</v>
      </c>
      <c r="O13" s="357"/>
      <c r="P13" s="318">
        <f>Données!AA13</f>
        <v>128</v>
      </c>
      <c r="Q13" s="359">
        <f>Données!AB13</f>
        <v>4</v>
      </c>
      <c r="R13" s="302">
        <f t="shared" si="4"/>
        <v>128.6</v>
      </c>
      <c r="S13" s="364">
        <f t="shared" si="5"/>
        <v>0.12682445759368835</v>
      </c>
      <c r="T13" s="344">
        <f t="shared" si="6"/>
        <v>138.33300988958206</v>
      </c>
      <c r="U13" s="344">
        <f t="shared" si="9"/>
        <v>0</v>
      </c>
      <c r="V13" s="362">
        <f t="shared" si="10"/>
        <v>0</v>
      </c>
      <c r="W13" s="436"/>
      <c r="X13" s="302">
        <f t="shared" si="11"/>
        <v>0</v>
      </c>
      <c r="Y13" s="322">
        <f t="shared" si="12"/>
        <v>0</v>
      </c>
    </row>
    <row r="14" spans="1:25" x14ac:dyDescent="0.25">
      <c r="A14" s="148">
        <f>Données!A14</f>
        <v>5407</v>
      </c>
      <c r="B14" s="156" t="str">
        <f>Données!B14</f>
        <v>Leysin</v>
      </c>
      <c r="C14" s="321">
        <f>Données!C14</f>
        <v>3685</v>
      </c>
      <c r="D14" s="336"/>
      <c r="E14" s="318">
        <f>Données!X14</f>
        <v>1489</v>
      </c>
      <c r="F14" s="361">
        <f t="shared" si="0"/>
        <v>0.40407055630936228</v>
      </c>
      <c r="G14" s="336">
        <f t="shared" si="1"/>
        <v>2878.3093942025112</v>
      </c>
      <c r="H14" s="344">
        <f t="shared" si="7"/>
        <v>0</v>
      </c>
      <c r="I14" s="362">
        <f t="shared" si="8"/>
        <v>0</v>
      </c>
      <c r="J14" s="357"/>
      <c r="K14" s="363">
        <f>Données!Y14</f>
        <v>3685</v>
      </c>
      <c r="L14" s="324">
        <f>Données!Z14</f>
        <v>0.70199999999999996</v>
      </c>
      <c r="M14" s="336">
        <f t="shared" si="2"/>
        <v>410.54154302670622</v>
      </c>
      <c r="N14" s="362">
        <f t="shared" si="3"/>
        <v>-1512846</v>
      </c>
      <c r="O14" s="357"/>
      <c r="P14" s="318">
        <f>Données!AA14</f>
        <v>294</v>
      </c>
      <c r="Q14" s="359">
        <f>Données!AB14</f>
        <v>93</v>
      </c>
      <c r="R14" s="302">
        <f t="shared" si="4"/>
        <v>307.95</v>
      </c>
      <c r="S14" s="364">
        <f t="shared" si="5"/>
        <v>8.3568521031207599E-2</v>
      </c>
      <c r="T14" s="344">
        <f t="shared" si="6"/>
        <v>502.71907440148908</v>
      </c>
      <c r="U14" s="344">
        <f t="shared" si="9"/>
        <v>0</v>
      </c>
      <c r="V14" s="362">
        <f t="shared" si="10"/>
        <v>0</v>
      </c>
      <c r="W14" s="436"/>
      <c r="X14" s="302">
        <f t="shared" si="11"/>
        <v>0</v>
      </c>
      <c r="Y14" s="322">
        <f t="shared" si="12"/>
        <v>0</v>
      </c>
    </row>
    <row r="15" spans="1:25" x14ac:dyDescent="0.25">
      <c r="A15" s="148">
        <f>Données!A15</f>
        <v>5408</v>
      </c>
      <c r="B15" s="156" t="str">
        <f>Données!B15</f>
        <v>Noville</v>
      </c>
      <c r="C15" s="321">
        <f>Données!C15</f>
        <v>1208</v>
      </c>
      <c r="D15" s="336"/>
      <c r="E15" s="318">
        <f>Données!X15</f>
        <v>886</v>
      </c>
      <c r="F15" s="361">
        <f t="shared" si="0"/>
        <v>0.73344370860927155</v>
      </c>
      <c r="G15" s="336">
        <f t="shared" si="1"/>
        <v>943.55434143734965</v>
      </c>
      <c r="H15" s="344">
        <f t="shared" si="7"/>
        <v>0</v>
      </c>
      <c r="I15" s="362">
        <f t="shared" si="8"/>
        <v>0</v>
      </c>
      <c r="J15" s="357"/>
      <c r="K15" s="363">
        <f>Données!Y15</f>
        <v>0</v>
      </c>
      <c r="L15" s="324">
        <f>Données!Z15</f>
        <v>0.01</v>
      </c>
      <c r="M15" s="336">
        <f t="shared" si="2"/>
        <v>5.8481701285855596</v>
      </c>
      <c r="N15" s="362">
        <f t="shared" si="3"/>
        <v>0</v>
      </c>
      <c r="O15" s="357"/>
      <c r="P15" s="318">
        <f>Données!AA15</f>
        <v>160</v>
      </c>
      <c r="Q15" s="359">
        <f>Données!AB15</f>
        <v>83</v>
      </c>
      <c r="R15" s="302">
        <f t="shared" si="4"/>
        <v>172.45</v>
      </c>
      <c r="S15" s="364">
        <f t="shared" si="5"/>
        <v>0.14275662251655627</v>
      </c>
      <c r="T15" s="344">
        <f t="shared" si="6"/>
        <v>164.79908870474867</v>
      </c>
      <c r="U15" s="344">
        <f t="shared" si="9"/>
        <v>7.6509112952513192</v>
      </c>
      <c r="V15" s="362">
        <f t="shared" si="10"/>
        <v>-32541</v>
      </c>
      <c r="W15" s="436"/>
      <c r="X15" s="302">
        <f t="shared" si="11"/>
        <v>-32541</v>
      </c>
      <c r="Y15" s="322">
        <f t="shared" si="12"/>
        <v>0</v>
      </c>
    </row>
    <row r="16" spans="1:25" x14ac:dyDescent="0.25">
      <c r="A16" s="148">
        <f>Données!A16</f>
        <v>5409</v>
      </c>
      <c r="B16" s="156" t="str">
        <f>Données!B16</f>
        <v>Ollon</v>
      </c>
      <c r="C16" s="321">
        <f>Données!C16</f>
        <v>8222</v>
      </c>
      <c r="D16" s="336"/>
      <c r="E16" s="318">
        <f>Données!X16</f>
        <v>5746</v>
      </c>
      <c r="F16" s="361">
        <f t="shared" si="0"/>
        <v>0.69885672585745562</v>
      </c>
      <c r="G16" s="336">
        <f t="shared" si="1"/>
        <v>6422.1057908095108</v>
      </c>
      <c r="H16" s="344">
        <f t="shared" si="7"/>
        <v>0</v>
      </c>
      <c r="I16" s="362">
        <f t="shared" si="8"/>
        <v>0</v>
      </c>
      <c r="J16" s="357"/>
      <c r="K16" s="363">
        <f>Données!Y16</f>
        <v>4109</v>
      </c>
      <c r="L16" s="324">
        <f>Données!Z16</f>
        <v>0.52800000000000002</v>
      </c>
      <c r="M16" s="336">
        <f t="shared" si="2"/>
        <v>308.78338278931756</v>
      </c>
      <c r="N16" s="362">
        <f t="shared" si="3"/>
        <v>-1268791</v>
      </c>
      <c r="O16" s="357"/>
      <c r="P16" s="318">
        <f>Données!AA16</f>
        <v>668</v>
      </c>
      <c r="Q16" s="359">
        <f>Données!AB16</f>
        <v>179</v>
      </c>
      <c r="R16" s="302">
        <f t="shared" si="4"/>
        <v>694.85</v>
      </c>
      <c r="S16" s="364">
        <f t="shared" si="5"/>
        <v>8.4511067866699097E-2</v>
      </c>
      <c r="T16" s="344">
        <f t="shared" si="6"/>
        <v>1121.6706186510294</v>
      </c>
      <c r="U16" s="344">
        <f t="shared" si="9"/>
        <v>0</v>
      </c>
      <c r="V16" s="362">
        <f t="shared" si="10"/>
        <v>0</v>
      </c>
      <c r="W16" s="436"/>
      <c r="X16" s="302">
        <f t="shared" si="11"/>
        <v>0</v>
      </c>
      <c r="Y16" s="322">
        <f t="shared" si="12"/>
        <v>0</v>
      </c>
    </row>
    <row r="17" spans="1:25" x14ac:dyDescent="0.25">
      <c r="A17" s="148">
        <f>Données!A17</f>
        <v>5410</v>
      </c>
      <c r="B17" s="156" t="str">
        <f>Données!B17</f>
        <v>Ormont-Dessous</v>
      </c>
      <c r="C17" s="321">
        <f>Données!C17</f>
        <v>1244</v>
      </c>
      <c r="D17" s="336"/>
      <c r="E17" s="318">
        <f>Données!X17</f>
        <v>5679</v>
      </c>
      <c r="F17" s="361">
        <f t="shared" si="0"/>
        <v>4.565112540192926</v>
      </c>
      <c r="G17" s="336">
        <f t="shared" si="1"/>
        <v>971.67351055303232</v>
      </c>
      <c r="H17" s="344">
        <f t="shared" si="7"/>
        <v>4707.3264894469676</v>
      </c>
      <c r="I17" s="362">
        <f t="shared" si="8"/>
        <v>-500532</v>
      </c>
      <c r="J17" s="357"/>
      <c r="K17" s="363">
        <f>Données!Y17</f>
        <v>1244</v>
      </c>
      <c r="L17" s="324">
        <f>Données!Z17</f>
        <v>0.623</v>
      </c>
      <c r="M17" s="336">
        <f t="shared" si="2"/>
        <v>364.34099901088035</v>
      </c>
      <c r="N17" s="362">
        <f t="shared" si="3"/>
        <v>-453240</v>
      </c>
      <c r="O17" s="357"/>
      <c r="P17" s="318">
        <f>Données!AA17</f>
        <v>115</v>
      </c>
      <c r="Q17" s="359">
        <f>Données!AB17</f>
        <v>69</v>
      </c>
      <c r="R17" s="302">
        <f t="shared" si="4"/>
        <v>125.35</v>
      </c>
      <c r="S17" s="364">
        <f t="shared" si="5"/>
        <v>0.10076366559485531</v>
      </c>
      <c r="T17" s="344">
        <f t="shared" si="6"/>
        <v>169.71031982508885</v>
      </c>
      <c r="U17" s="344">
        <f t="shared" si="9"/>
        <v>0</v>
      </c>
      <c r="V17" s="362">
        <f t="shared" si="10"/>
        <v>0</v>
      </c>
      <c r="W17" s="436"/>
      <c r="X17" s="302">
        <f t="shared" si="11"/>
        <v>0</v>
      </c>
      <c r="Y17" s="322">
        <f t="shared" si="12"/>
        <v>0</v>
      </c>
    </row>
    <row r="18" spans="1:25" x14ac:dyDescent="0.25">
      <c r="A18" s="148">
        <f>Données!A18</f>
        <v>5411</v>
      </c>
      <c r="B18" s="156" t="str">
        <f>Données!B18</f>
        <v>Ormont-Dessus</v>
      </c>
      <c r="C18" s="321">
        <f>Données!C18</f>
        <v>1435</v>
      </c>
      <c r="D18" s="336"/>
      <c r="E18" s="318">
        <f>Données!X18</f>
        <v>4328</v>
      </c>
      <c r="F18" s="361">
        <f t="shared" si="0"/>
        <v>3.0160278745644598</v>
      </c>
      <c r="G18" s="336">
        <f t="shared" si="1"/>
        <v>1120.8613244723483</v>
      </c>
      <c r="H18" s="344">
        <f t="shared" si="7"/>
        <v>3207.1386755276517</v>
      </c>
      <c r="I18" s="362">
        <f t="shared" si="8"/>
        <v>-341016</v>
      </c>
      <c r="J18" s="357"/>
      <c r="K18" s="363">
        <f>Données!Y18</f>
        <v>1435</v>
      </c>
      <c r="L18" s="324">
        <f>Données!Z18</f>
        <v>0.72699999999999998</v>
      </c>
      <c r="M18" s="336">
        <f t="shared" si="2"/>
        <v>425.16196834817015</v>
      </c>
      <c r="N18" s="362">
        <f t="shared" si="3"/>
        <v>-610107</v>
      </c>
      <c r="O18" s="357"/>
      <c r="P18" s="318">
        <f>Données!AA18</f>
        <v>131</v>
      </c>
      <c r="Q18" s="359">
        <f>Données!AB18</f>
        <v>80</v>
      </c>
      <c r="R18" s="302">
        <f t="shared" si="4"/>
        <v>143</v>
      </c>
      <c r="S18" s="364">
        <f t="shared" si="5"/>
        <v>9.9651567944250868E-2</v>
      </c>
      <c r="T18" s="344">
        <f t="shared" si="6"/>
        <v>195.76712938022709</v>
      </c>
      <c r="U18" s="344">
        <f t="shared" si="9"/>
        <v>0</v>
      </c>
      <c r="V18" s="362">
        <f t="shared" si="10"/>
        <v>0</v>
      </c>
      <c r="W18" s="436"/>
      <c r="X18" s="302">
        <f t="shared" si="11"/>
        <v>0</v>
      </c>
      <c r="Y18" s="322">
        <f t="shared" si="12"/>
        <v>0</v>
      </c>
    </row>
    <row r="19" spans="1:25" x14ac:dyDescent="0.25">
      <c r="A19" s="148">
        <f>Données!A19</f>
        <v>5412</v>
      </c>
      <c r="B19" s="156" t="str">
        <f>Données!B19</f>
        <v>Rennaz</v>
      </c>
      <c r="C19" s="321">
        <f>Données!C19</f>
        <v>949</v>
      </c>
      <c r="D19" s="336"/>
      <c r="E19" s="318">
        <f>Données!X19</f>
        <v>216</v>
      </c>
      <c r="F19" s="361">
        <f t="shared" si="0"/>
        <v>0.22760800842992623</v>
      </c>
      <c r="G19" s="336">
        <f t="shared" si="1"/>
        <v>741.25254141063317</v>
      </c>
      <c r="H19" s="344">
        <f t="shared" si="7"/>
        <v>0</v>
      </c>
      <c r="I19" s="362">
        <f t="shared" si="8"/>
        <v>0</v>
      </c>
      <c r="J19" s="357"/>
      <c r="K19" s="363">
        <f>Données!Y19</f>
        <v>0</v>
      </c>
      <c r="L19" s="324">
        <f>Données!Z19</f>
        <v>0.02</v>
      </c>
      <c r="M19" s="336">
        <f t="shared" si="2"/>
        <v>11.696340257171119</v>
      </c>
      <c r="N19" s="362">
        <f t="shared" si="3"/>
        <v>0</v>
      </c>
      <c r="O19" s="357"/>
      <c r="P19" s="318">
        <f>Données!AA19</f>
        <v>132</v>
      </c>
      <c r="Q19" s="359">
        <f>Données!AB19</f>
        <v>81</v>
      </c>
      <c r="R19" s="302">
        <f t="shared" si="4"/>
        <v>144.15</v>
      </c>
      <c r="S19" s="364">
        <f t="shared" si="5"/>
        <v>0.15189673340358273</v>
      </c>
      <c r="T19" s="344">
        <f t="shared" si="6"/>
        <v>129.46550925563452</v>
      </c>
      <c r="U19" s="344">
        <f t="shared" si="9"/>
        <v>14.68449074436549</v>
      </c>
      <c r="V19" s="362">
        <f t="shared" si="10"/>
        <v>-62456</v>
      </c>
      <c r="W19" s="436"/>
      <c r="X19" s="302">
        <f t="shared" si="11"/>
        <v>-51676.557863501483</v>
      </c>
      <c r="Y19" s="322">
        <f t="shared" si="12"/>
        <v>-10779.442136498517</v>
      </c>
    </row>
    <row r="20" spans="1:25" x14ac:dyDescent="0.25">
      <c r="A20" s="148">
        <f>Données!A20</f>
        <v>5413</v>
      </c>
      <c r="B20" s="156" t="str">
        <f>Données!B20</f>
        <v>Roche</v>
      </c>
      <c r="C20" s="321">
        <f>Données!C20</f>
        <v>1996</v>
      </c>
      <c r="D20" s="336"/>
      <c r="E20" s="318">
        <f>Données!X20</f>
        <v>617</v>
      </c>
      <c r="F20" s="361">
        <f t="shared" si="0"/>
        <v>0.3091182364729459</v>
      </c>
      <c r="G20" s="336">
        <f t="shared" si="1"/>
        <v>1559.0517098584023</v>
      </c>
      <c r="H20" s="344">
        <f t="shared" si="7"/>
        <v>0</v>
      </c>
      <c r="I20" s="362">
        <f t="shared" si="8"/>
        <v>0</v>
      </c>
      <c r="J20" s="357"/>
      <c r="K20" s="363">
        <f>Données!Y20</f>
        <v>0</v>
      </c>
      <c r="L20" s="324">
        <f>Données!Z20</f>
        <v>0.29799999999999999</v>
      </c>
      <c r="M20" s="336">
        <f t="shared" si="2"/>
        <v>174.27546983184965</v>
      </c>
      <c r="N20" s="362">
        <f t="shared" si="3"/>
        <v>0</v>
      </c>
      <c r="O20" s="357"/>
      <c r="P20" s="318">
        <f>Données!AA20</f>
        <v>297</v>
      </c>
      <c r="Q20" s="359">
        <f>Données!AB20</f>
        <v>79</v>
      </c>
      <c r="R20" s="302">
        <f t="shared" si="4"/>
        <v>308.85000000000002</v>
      </c>
      <c r="S20" s="364">
        <f t="shared" si="5"/>
        <v>0.15473446893787576</v>
      </c>
      <c r="T20" s="344">
        <f t="shared" si="6"/>
        <v>272.30048100552841</v>
      </c>
      <c r="U20" s="344">
        <f t="shared" si="9"/>
        <v>36.549518994471612</v>
      </c>
      <c r="V20" s="362">
        <f t="shared" si="10"/>
        <v>-155453</v>
      </c>
      <c r="W20" s="436"/>
      <c r="X20" s="302">
        <f t="shared" si="11"/>
        <v>-50400.593471810083</v>
      </c>
      <c r="Y20" s="322">
        <f t="shared" si="12"/>
        <v>-105052.40652818992</v>
      </c>
    </row>
    <row r="21" spans="1:25" x14ac:dyDescent="0.25">
      <c r="A21" s="148">
        <f>Données!A21</f>
        <v>5414</v>
      </c>
      <c r="B21" s="156" t="str">
        <f>Données!B21</f>
        <v>Villeneuve</v>
      </c>
      <c r="C21" s="321">
        <f>Données!C21</f>
        <v>6039</v>
      </c>
      <c r="D21" s="336"/>
      <c r="E21" s="318">
        <f>Données!X21</f>
        <v>2899</v>
      </c>
      <c r="F21" s="361">
        <f t="shared" si="0"/>
        <v>0.48004636529226691</v>
      </c>
      <c r="G21" s="336">
        <f t="shared" si="1"/>
        <v>4716.9906191557575</v>
      </c>
      <c r="H21" s="344">
        <f t="shared" si="7"/>
        <v>0</v>
      </c>
      <c r="I21" s="362">
        <f t="shared" si="8"/>
        <v>0</v>
      </c>
      <c r="J21" s="357"/>
      <c r="K21" s="363">
        <f>Données!Y21</f>
        <v>0</v>
      </c>
      <c r="L21" s="324">
        <f>Données!Z21</f>
        <v>0.82099999999999995</v>
      </c>
      <c r="M21" s="336">
        <f t="shared" si="2"/>
        <v>480.13476755687441</v>
      </c>
      <c r="N21" s="362">
        <f t="shared" si="3"/>
        <v>0</v>
      </c>
      <c r="O21" s="357"/>
      <c r="P21" s="318">
        <f>Données!AA21</f>
        <v>712</v>
      </c>
      <c r="Q21" s="359">
        <f>Données!AB21</f>
        <v>32</v>
      </c>
      <c r="R21" s="302">
        <f t="shared" si="4"/>
        <v>716.8</v>
      </c>
      <c r="S21" s="364">
        <f t="shared" si="5"/>
        <v>0.11869514820334491</v>
      </c>
      <c r="T21" s="344">
        <f t="shared" si="6"/>
        <v>823.85902043706722</v>
      </c>
      <c r="U21" s="344">
        <f t="shared" si="9"/>
        <v>0</v>
      </c>
      <c r="V21" s="362">
        <f t="shared" si="10"/>
        <v>0</v>
      </c>
      <c r="W21" s="436"/>
      <c r="X21" s="302">
        <f t="shared" si="11"/>
        <v>0</v>
      </c>
      <c r="Y21" s="322">
        <f t="shared" si="12"/>
        <v>0</v>
      </c>
    </row>
    <row r="22" spans="1:25" x14ac:dyDescent="0.25">
      <c r="A22" s="148">
        <f>Données!A22</f>
        <v>5415</v>
      </c>
      <c r="B22" s="156" t="str">
        <f>Données!B22</f>
        <v>Yvorne</v>
      </c>
      <c r="C22" s="321">
        <f>Données!C22</f>
        <v>1110</v>
      </c>
      <c r="D22" s="336"/>
      <c r="E22" s="318">
        <f>Données!X22</f>
        <v>1178</v>
      </c>
      <c r="F22" s="361">
        <f t="shared" si="0"/>
        <v>1.0612612612612613</v>
      </c>
      <c r="G22" s="336">
        <f t="shared" si="1"/>
        <v>867.00771440021367</v>
      </c>
      <c r="H22" s="344">
        <f t="shared" si="7"/>
        <v>310.99228559978633</v>
      </c>
      <c r="I22" s="362">
        <f t="shared" si="8"/>
        <v>-33068</v>
      </c>
      <c r="J22" s="357"/>
      <c r="K22" s="363">
        <f>Données!Y22</f>
        <v>0</v>
      </c>
      <c r="L22" s="324">
        <f>Données!Z22</f>
        <v>0.32800000000000001</v>
      </c>
      <c r="M22" s="336">
        <f t="shared" si="2"/>
        <v>191.81998021760634</v>
      </c>
      <c r="N22" s="362">
        <f t="shared" si="3"/>
        <v>0</v>
      </c>
      <c r="O22" s="357"/>
      <c r="P22" s="318">
        <f>Données!AA22</f>
        <v>130</v>
      </c>
      <c r="Q22" s="359">
        <f>Données!AB22</f>
        <v>37</v>
      </c>
      <c r="R22" s="302">
        <f t="shared" si="4"/>
        <v>135.55000000000001</v>
      </c>
      <c r="S22" s="364">
        <f t="shared" si="5"/>
        <v>0.12211711711711713</v>
      </c>
      <c r="T22" s="344">
        <f t="shared" si="6"/>
        <v>151.42962621048926</v>
      </c>
      <c r="U22" s="344">
        <f t="shared" si="9"/>
        <v>0</v>
      </c>
      <c r="V22" s="362">
        <f t="shared" si="10"/>
        <v>0</v>
      </c>
      <c r="W22" s="436"/>
      <c r="X22" s="302">
        <f t="shared" si="11"/>
        <v>0</v>
      </c>
      <c r="Y22" s="322">
        <f t="shared" si="12"/>
        <v>0</v>
      </c>
    </row>
    <row r="23" spans="1:25" x14ac:dyDescent="0.25">
      <c r="A23" s="148">
        <f>Données!A23</f>
        <v>5422</v>
      </c>
      <c r="B23" s="156" t="str">
        <f>Données!B23</f>
        <v>Aubonne</v>
      </c>
      <c r="C23" s="321">
        <f>Données!C23</f>
        <v>3862</v>
      </c>
      <c r="D23" s="336"/>
      <c r="E23" s="318">
        <f>Données!X23</f>
        <v>1425</v>
      </c>
      <c r="F23" s="361">
        <f t="shared" si="0"/>
        <v>0.36897980321077162</v>
      </c>
      <c r="G23" s="336">
        <f t="shared" si="1"/>
        <v>3016.5619756879505</v>
      </c>
      <c r="H23" s="344">
        <f t="shared" si="7"/>
        <v>0</v>
      </c>
      <c r="I23" s="362">
        <f t="shared" si="8"/>
        <v>0</v>
      </c>
      <c r="J23" s="357"/>
      <c r="K23" s="363">
        <f>Données!Y23</f>
        <v>0</v>
      </c>
      <c r="L23" s="324">
        <f>Données!Z23</f>
        <v>0.112</v>
      </c>
      <c r="M23" s="336">
        <f t="shared" si="2"/>
        <v>65.499505440158259</v>
      </c>
      <c r="N23" s="362">
        <f t="shared" si="3"/>
        <v>0</v>
      </c>
      <c r="O23" s="357"/>
      <c r="P23" s="318">
        <f>Données!AA23</f>
        <v>431</v>
      </c>
      <c r="Q23" s="359">
        <f>Données!AB23</f>
        <v>86</v>
      </c>
      <c r="R23" s="302">
        <f t="shared" si="4"/>
        <v>443.9</v>
      </c>
      <c r="S23" s="364">
        <f t="shared" si="5"/>
        <v>0.1149404453650958</v>
      </c>
      <c r="T23" s="344">
        <f t="shared" si="6"/>
        <v>526.86596074316174</v>
      </c>
      <c r="U23" s="344">
        <f t="shared" si="9"/>
        <v>0</v>
      </c>
      <c r="V23" s="362">
        <f t="shared" si="10"/>
        <v>0</v>
      </c>
      <c r="W23" s="436"/>
      <c r="X23" s="302">
        <f t="shared" si="11"/>
        <v>0</v>
      </c>
      <c r="Y23" s="322">
        <f t="shared" si="12"/>
        <v>0</v>
      </c>
    </row>
    <row r="24" spans="1:25" x14ac:dyDescent="0.25">
      <c r="A24" s="148">
        <f>Données!A24</f>
        <v>5423</v>
      </c>
      <c r="B24" s="156" t="str">
        <f>Données!B24</f>
        <v>Ballens</v>
      </c>
      <c r="C24" s="321">
        <f>Données!C24</f>
        <v>579</v>
      </c>
      <c r="D24" s="336"/>
      <c r="E24" s="318">
        <f>Données!X24</f>
        <v>832</v>
      </c>
      <c r="F24" s="361">
        <f t="shared" si="0"/>
        <v>1.4369602763385148</v>
      </c>
      <c r="G24" s="336">
        <f t="shared" si="1"/>
        <v>452.24996994389528</v>
      </c>
      <c r="H24" s="344">
        <f t="shared" si="7"/>
        <v>379.75003005610472</v>
      </c>
      <c r="I24" s="362">
        <f t="shared" si="8"/>
        <v>-40379</v>
      </c>
      <c r="J24" s="357"/>
      <c r="K24" s="363">
        <f>Données!Y24</f>
        <v>0</v>
      </c>
      <c r="L24" s="324">
        <f>Données!Z24</f>
        <v>1.7000000000000001E-2</v>
      </c>
      <c r="M24" s="336">
        <f t="shared" si="2"/>
        <v>9.9418892185954508</v>
      </c>
      <c r="N24" s="362">
        <f t="shared" si="3"/>
        <v>0</v>
      </c>
      <c r="O24" s="357"/>
      <c r="P24" s="318">
        <f>Données!AA24</f>
        <v>60</v>
      </c>
      <c r="Q24" s="359">
        <f>Données!AB24</f>
        <v>60</v>
      </c>
      <c r="R24" s="302">
        <f t="shared" si="4"/>
        <v>69</v>
      </c>
      <c r="S24" s="364">
        <f t="shared" si="5"/>
        <v>0.11917098445595854</v>
      </c>
      <c r="T24" s="344">
        <f t="shared" si="6"/>
        <v>78.988967185471424</v>
      </c>
      <c r="U24" s="344">
        <f t="shared" si="9"/>
        <v>0</v>
      </c>
      <c r="V24" s="362">
        <f t="shared" si="10"/>
        <v>0</v>
      </c>
      <c r="W24" s="436"/>
      <c r="X24" s="302">
        <f t="shared" si="11"/>
        <v>0</v>
      </c>
      <c r="Y24" s="322">
        <f t="shared" si="12"/>
        <v>0</v>
      </c>
    </row>
    <row r="25" spans="1:25" x14ac:dyDescent="0.25">
      <c r="A25" s="148">
        <f>Données!A25</f>
        <v>5424</v>
      </c>
      <c r="B25" s="156" t="str">
        <f>Données!B25</f>
        <v>Berolle</v>
      </c>
      <c r="C25" s="321">
        <f>Données!C25</f>
        <v>303</v>
      </c>
      <c r="D25" s="336"/>
      <c r="E25" s="318">
        <f>Données!X25</f>
        <v>963</v>
      </c>
      <c r="F25" s="361">
        <f t="shared" si="0"/>
        <v>3.1782178217821784</v>
      </c>
      <c r="G25" s="336">
        <f t="shared" si="1"/>
        <v>236.6696733903286</v>
      </c>
      <c r="H25" s="344">
        <f t="shared" si="7"/>
        <v>726.33032660967137</v>
      </c>
      <c r="I25" s="362">
        <f t="shared" si="8"/>
        <v>-77231</v>
      </c>
      <c r="J25" s="357"/>
      <c r="K25" s="363">
        <f>Données!Y25</f>
        <v>299</v>
      </c>
      <c r="L25" s="324">
        <f>Données!Z25</f>
        <v>0.26100000000000001</v>
      </c>
      <c r="M25" s="336">
        <f t="shared" si="2"/>
        <v>152.63724035608311</v>
      </c>
      <c r="N25" s="362">
        <f t="shared" si="3"/>
        <v>-45639</v>
      </c>
      <c r="O25" s="357"/>
      <c r="P25" s="318">
        <f>Données!AA25</f>
        <v>40</v>
      </c>
      <c r="Q25" s="359">
        <f>Données!AB25</f>
        <v>40</v>
      </c>
      <c r="R25" s="302">
        <f t="shared" si="4"/>
        <v>46</v>
      </c>
      <c r="S25" s="364">
        <f t="shared" si="5"/>
        <v>0.15181518151815182</v>
      </c>
      <c r="T25" s="344">
        <f t="shared" si="6"/>
        <v>41.336195262863278</v>
      </c>
      <c r="U25" s="344">
        <f t="shared" si="9"/>
        <v>4.6638047371367222</v>
      </c>
      <c r="V25" s="362">
        <f t="shared" si="10"/>
        <v>-19836</v>
      </c>
      <c r="W25" s="436"/>
      <c r="X25" s="302">
        <f t="shared" si="11"/>
        <v>-19836</v>
      </c>
      <c r="Y25" s="322">
        <f t="shared" si="12"/>
        <v>0</v>
      </c>
    </row>
    <row r="26" spans="1:25" x14ac:dyDescent="0.25">
      <c r="A26" s="148">
        <f>Données!A26</f>
        <v>5425</v>
      </c>
      <c r="B26" s="156" t="str">
        <f>Données!B26</f>
        <v>Bière</v>
      </c>
      <c r="C26" s="321">
        <f>Données!C26</f>
        <v>1680</v>
      </c>
      <c r="D26" s="336"/>
      <c r="E26" s="318">
        <f>Données!X26</f>
        <v>2432</v>
      </c>
      <c r="F26" s="361">
        <f t="shared" si="0"/>
        <v>1.4476190476190476</v>
      </c>
      <c r="G26" s="336">
        <f t="shared" si="1"/>
        <v>1312.2278920651884</v>
      </c>
      <c r="H26" s="344">
        <f t="shared" si="7"/>
        <v>1119.7721079348116</v>
      </c>
      <c r="I26" s="362">
        <f t="shared" si="8"/>
        <v>-119066</v>
      </c>
      <c r="J26" s="357"/>
      <c r="K26" s="363">
        <f>Données!Y26</f>
        <v>12</v>
      </c>
      <c r="L26" s="324">
        <f>Données!Z26</f>
        <v>0.184</v>
      </c>
      <c r="M26" s="336">
        <f t="shared" si="2"/>
        <v>107.60633036597429</v>
      </c>
      <c r="N26" s="362">
        <f t="shared" si="3"/>
        <v>-1291</v>
      </c>
      <c r="O26" s="357"/>
      <c r="P26" s="318">
        <f>Données!AA26</f>
        <v>200</v>
      </c>
      <c r="Q26" s="359">
        <f>Données!AB26</f>
        <v>64</v>
      </c>
      <c r="R26" s="302">
        <f t="shared" si="4"/>
        <v>209.6</v>
      </c>
      <c r="S26" s="364">
        <f t="shared" si="5"/>
        <v>0.12476190476190475</v>
      </c>
      <c r="T26" s="344">
        <f t="shared" si="6"/>
        <v>229.19078561587563</v>
      </c>
      <c r="U26" s="344">
        <f t="shared" si="9"/>
        <v>0</v>
      </c>
      <c r="V26" s="362">
        <f t="shared" si="10"/>
        <v>0</v>
      </c>
      <c r="W26" s="436"/>
      <c r="X26" s="302">
        <f t="shared" si="11"/>
        <v>0</v>
      </c>
      <c r="Y26" s="322">
        <f t="shared" si="12"/>
        <v>0</v>
      </c>
    </row>
    <row r="27" spans="1:25" x14ac:dyDescent="0.25">
      <c r="A27" s="148">
        <f>Données!A27</f>
        <v>5426</v>
      </c>
      <c r="B27" s="156" t="str">
        <f>Données!B27</f>
        <v>Bougy-Villars</v>
      </c>
      <c r="C27" s="321">
        <f>Données!C27</f>
        <v>511</v>
      </c>
      <c r="D27" s="336"/>
      <c r="E27" s="318">
        <f>Données!X27</f>
        <v>176</v>
      </c>
      <c r="F27" s="361">
        <f t="shared" si="0"/>
        <v>0.34442270058708413</v>
      </c>
      <c r="G27" s="336">
        <f t="shared" si="1"/>
        <v>399.1359838364948</v>
      </c>
      <c r="H27" s="344">
        <f t="shared" si="7"/>
        <v>0</v>
      </c>
      <c r="I27" s="362">
        <f t="shared" si="8"/>
        <v>0</v>
      </c>
      <c r="J27" s="357"/>
      <c r="K27" s="363">
        <f>Données!Y27</f>
        <v>0</v>
      </c>
      <c r="L27" s="324">
        <f>Données!Z27</f>
        <v>0.15</v>
      </c>
      <c r="M27" s="336">
        <f t="shared" si="2"/>
        <v>87.722551928783389</v>
      </c>
      <c r="N27" s="362">
        <f t="shared" si="3"/>
        <v>0</v>
      </c>
      <c r="O27" s="357"/>
      <c r="P27" s="318">
        <f>Données!AA27</f>
        <v>35</v>
      </c>
      <c r="Q27" s="359">
        <f>Données!AB27</f>
        <v>23</v>
      </c>
      <c r="R27" s="302">
        <f t="shared" si="4"/>
        <v>38.450000000000003</v>
      </c>
      <c r="S27" s="364">
        <f t="shared" si="5"/>
        <v>7.5244618395303331E-2</v>
      </c>
      <c r="T27" s="344">
        <f t="shared" si="6"/>
        <v>69.712197291495499</v>
      </c>
      <c r="U27" s="344">
        <f t="shared" si="9"/>
        <v>0</v>
      </c>
      <c r="V27" s="362">
        <f t="shared" si="10"/>
        <v>0</v>
      </c>
      <c r="W27" s="436"/>
      <c r="X27" s="302">
        <f t="shared" si="11"/>
        <v>0</v>
      </c>
      <c r="Y27" s="322">
        <f t="shared" si="12"/>
        <v>0</v>
      </c>
    </row>
    <row r="28" spans="1:25" x14ac:dyDescent="0.25">
      <c r="A28" s="148">
        <f>Données!A28</f>
        <v>5427</v>
      </c>
      <c r="B28" s="156" t="str">
        <f>Données!B28</f>
        <v>Féchy</v>
      </c>
      <c r="C28" s="321">
        <f>Données!C28</f>
        <v>919</v>
      </c>
      <c r="D28" s="336"/>
      <c r="E28" s="318">
        <f>Données!X28</f>
        <v>267</v>
      </c>
      <c r="F28" s="361">
        <f t="shared" si="0"/>
        <v>0.29053318824809576</v>
      </c>
      <c r="G28" s="336">
        <f t="shared" si="1"/>
        <v>717.81990048089767</v>
      </c>
      <c r="H28" s="344">
        <f t="shared" si="7"/>
        <v>0</v>
      </c>
      <c r="I28" s="362">
        <f t="shared" si="8"/>
        <v>0</v>
      </c>
      <c r="J28" s="357"/>
      <c r="K28" s="363">
        <f>Données!Y28</f>
        <v>0</v>
      </c>
      <c r="L28" s="324">
        <f>Données!Z28</f>
        <v>7.1999999999999995E-2</v>
      </c>
      <c r="M28" s="336">
        <f t="shared" si="2"/>
        <v>42.106824925816021</v>
      </c>
      <c r="N28" s="362">
        <f t="shared" si="3"/>
        <v>0</v>
      </c>
      <c r="O28" s="357"/>
      <c r="P28" s="318">
        <f>Données!AA28</f>
        <v>95</v>
      </c>
      <c r="Q28" s="359">
        <f>Données!AB28</f>
        <v>49</v>
      </c>
      <c r="R28" s="302">
        <f t="shared" si="4"/>
        <v>102.35</v>
      </c>
      <c r="S28" s="364">
        <f t="shared" si="5"/>
        <v>0.11137105549510337</v>
      </c>
      <c r="T28" s="344">
        <f t="shared" si="6"/>
        <v>125.372816655351</v>
      </c>
      <c r="U28" s="344">
        <f t="shared" si="9"/>
        <v>0</v>
      </c>
      <c r="V28" s="362">
        <f t="shared" si="10"/>
        <v>0</v>
      </c>
      <c r="W28" s="436"/>
      <c r="X28" s="302">
        <f t="shared" si="11"/>
        <v>0</v>
      </c>
      <c r="Y28" s="322">
        <f t="shared" si="12"/>
        <v>0</v>
      </c>
    </row>
    <row r="29" spans="1:25" x14ac:dyDescent="0.25">
      <c r="A29" s="148">
        <f>Données!A29</f>
        <v>5428</v>
      </c>
      <c r="B29" s="156" t="str">
        <f>Données!B29</f>
        <v>Gimel</v>
      </c>
      <c r="C29" s="321">
        <f>Données!C29</f>
        <v>2458</v>
      </c>
      <c r="D29" s="336"/>
      <c r="E29" s="318">
        <f>Données!X29</f>
        <v>1881</v>
      </c>
      <c r="F29" s="361">
        <f t="shared" si="0"/>
        <v>0.76525630593978844</v>
      </c>
      <c r="G29" s="336">
        <f t="shared" si="1"/>
        <v>1919.9143801763291</v>
      </c>
      <c r="H29" s="344">
        <f t="shared" si="7"/>
        <v>0</v>
      </c>
      <c r="I29" s="362">
        <f t="shared" si="8"/>
        <v>0</v>
      </c>
      <c r="J29" s="357"/>
      <c r="K29" s="363">
        <f>Données!Y29</f>
        <v>717</v>
      </c>
      <c r="L29" s="324">
        <f>Données!Z29</f>
        <v>0.157</v>
      </c>
      <c r="M29" s="336">
        <f t="shared" si="2"/>
        <v>91.816271018793287</v>
      </c>
      <c r="N29" s="362">
        <f t="shared" si="3"/>
        <v>-65832</v>
      </c>
      <c r="O29" s="357"/>
      <c r="P29" s="318">
        <f>Données!AA29</f>
        <v>343</v>
      </c>
      <c r="Q29" s="359">
        <f>Données!AB29</f>
        <v>105</v>
      </c>
      <c r="R29" s="302">
        <f t="shared" si="4"/>
        <v>358.75</v>
      </c>
      <c r="S29" s="364">
        <f t="shared" si="5"/>
        <v>0.14595199349064281</v>
      </c>
      <c r="T29" s="344">
        <f t="shared" si="6"/>
        <v>335.32794704989419</v>
      </c>
      <c r="U29" s="344">
        <f t="shared" si="9"/>
        <v>23.422052950105808</v>
      </c>
      <c r="V29" s="362">
        <f t="shared" si="10"/>
        <v>-99619</v>
      </c>
      <c r="W29" s="436"/>
      <c r="X29" s="302">
        <f t="shared" si="11"/>
        <v>-66988.130563798215</v>
      </c>
      <c r="Y29" s="322">
        <f t="shared" si="12"/>
        <v>-32630.869436201785</v>
      </c>
    </row>
    <row r="30" spans="1:25" x14ac:dyDescent="0.25">
      <c r="A30" s="148">
        <f>Données!A30</f>
        <v>5429</v>
      </c>
      <c r="B30" s="156" t="str">
        <f>Données!B30</f>
        <v>Longirod</v>
      </c>
      <c r="C30" s="321">
        <f>Données!C30</f>
        <v>555</v>
      </c>
      <c r="D30" s="336"/>
      <c r="E30" s="318">
        <f>Données!X30</f>
        <v>945</v>
      </c>
      <c r="F30" s="361">
        <f t="shared" si="0"/>
        <v>1.7027027027027026</v>
      </c>
      <c r="G30" s="336">
        <f t="shared" si="1"/>
        <v>433.50385720010684</v>
      </c>
      <c r="H30" s="344">
        <f t="shared" si="7"/>
        <v>511.49614279989316</v>
      </c>
      <c r="I30" s="362">
        <f t="shared" si="8"/>
        <v>-54388</v>
      </c>
      <c r="J30" s="357"/>
      <c r="K30" s="363">
        <f>Données!Y30</f>
        <v>555</v>
      </c>
      <c r="L30" s="324">
        <f>Données!Z30</f>
        <v>0.14599999999999999</v>
      </c>
      <c r="M30" s="336">
        <f t="shared" si="2"/>
        <v>85.383283877349157</v>
      </c>
      <c r="N30" s="362">
        <f t="shared" si="3"/>
        <v>-47388</v>
      </c>
      <c r="O30" s="357"/>
      <c r="P30" s="318">
        <f>Données!AA30</f>
        <v>55</v>
      </c>
      <c r="Q30" s="359">
        <f>Données!AB30</f>
        <v>40</v>
      </c>
      <c r="R30" s="302">
        <f t="shared" si="4"/>
        <v>61</v>
      </c>
      <c r="S30" s="364">
        <f t="shared" si="5"/>
        <v>0.10990990990990991</v>
      </c>
      <c r="T30" s="344">
        <f t="shared" si="6"/>
        <v>75.71481310524463</v>
      </c>
      <c r="U30" s="344">
        <f t="shared" si="9"/>
        <v>0</v>
      </c>
      <c r="V30" s="362">
        <f t="shared" si="10"/>
        <v>0</v>
      </c>
      <c r="W30" s="436"/>
      <c r="X30" s="302">
        <f t="shared" si="11"/>
        <v>0</v>
      </c>
      <c r="Y30" s="322">
        <f t="shared" si="12"/>
        <v>0</v>
      </c>
    </row>
    <row r="31" spans="1:25" x14ac:dyDescent="0.25">
      <c r="A31" s="148">
        <f>Données!A31</f>
        <v>5430</v>
      </c>
      <c r="B31" s="156" t="str">
        <f>Données!B31</f>
        <v>Marchissy</v>
      </c>
      <c r="C31" s="321">
        <f>Données!C31</f>
        <v>510</v>
      </c>
      <c r="D31" s="336"/>
      <c r="E31" s="318">
        <f>Données!X31</f>
        <v>1193</v>
      </c>
      <c r="F31" s="361">
        <f t="shared" si="0"/>
        <v>2.3392156862745099</v>
      </c>
      <c r="G31" s="336">
        <f t="shared" si="1"/>
        <v>398.35489580550359</v>
      </c>
      <c r="H31" s="344">
        <f t="shared" si="7"/>
        <v>794.64510419449641</v>
      </c>
      <c r="I31" s="362">
        <f t="shared" si="8"/>
        <v>-84495</v>
      </c>
      <c r="J31" s="357"/>
      <c r="K31" s="363">
        <f>Données!Y31</f>
        <v>510</v>
      </c>
      <c r="L31" s="324">
        <f>Données!Z31</f>
        <v>0.157</v>
      </c>
      <c r="M31" s="336">
        <f t="shared" si="2"/>
        <v>91.816271018793287</v>
      </c>
      <c r="N31" s="362">
        <f t="shared" si="3"/>
        <v>-46826</v>
      </c>
      <c r="O31" s="357"/>
      <c r="P31" s="318">
        <f>Données!AA31</f>
        <v>55</v>
      </c>
      <c r="Q31" s="359">
        <f>Données!AB31</f>
        <v>35</v>
      </c>
      <c r="R31" s="302">
        <f t="shared" si="4"/>
        <v>60.25</v>
      </c>
      <c r="S31" s="364">
        <f t="shared" si="5"/>
        <v>0.11813725490196078</v>
      </c>
      <c r="T31" s="344">
        <f t="shared" si="6"/>
        <v>69.575774204819382</v>
      </c>
      <c r="U31" s="344">
        <f t="shared" si="9"/>
        <v>0</v>
      </c>
      <c r="V31" s="362">
        <f t="shared" si="10"/>
        <v>0</v>
      </c>
      <c r="W31" s="436"/>
      <c r="X31" s="302">
        <f t="shared" si="11"/>
        <v>0</v>
      </c>
      <c r="Y31" s="322">
        <f t="shared" si="12"/>
        <v>0</v>
      </c>
    </row>
    <row r="32" spans="1:25" x14ac:dyDescent="0.25">
      <c r="A32" s="148">
        <f>Données!A32</f>
        <v>5431</v>
      </c>
      <c r="B32" s="156" t="str">
        <f>Données!B32</f>
        <v>Mollens</v>
      </c>
      <c r="C32" s="321">
        <f>Données!C32</f>
        <v>324</v>
      </c>
      <c r="D32" s="336"/>
      <c r="E32" s="318">
        <f>Données!X32</f>
        <v>1099</v>
      </c>
      <c r="F32" s="361">
        <f t="shared" si="0"/>
        <v>3.3919753086419755</v>
      </c>
      <c r="G32" s="336">
        <f t="shared" si="1"/>
        <v>253.07252204114346</v>
      </c>
      <c r="H32" s="344">
        <f t="shared" si="7"/>
        <v>845.92747795885657</v>
      </c>
      <c r="I32" s="362">
        <f t="shared" si="8"/>
        <v>-89948</v>
      </c>
      <c r="J32" s="357"/>
      <c r="K32" s="363">
        <f>Données!Y32</f>
        <v>283</v>
      </c>
      <c r="L32" s="324">
        <f>Données!Z32</f>
        <v>0.20799999999999999</v>
      </c>
      <c r="M32" s="336">
        <f t="shared" si="2"/>
        <v>121.64193867457962</v>
      </c>
      <c r="N32" s="362">
        <f t="shared" si="3"/>
        <v>-34425</v>
      </c>
      <c r="O32" s="357"/>
      <c r="P32" s="318">
        <f>Données!AA32</f>
        <v>23</v>
      </c>
      <c r="Q32" s="359">
        <f>Données!AB32</f>
        <v>23</v>
      </c>
      <c r="R32" s="302">
        <f t="shared" si="4"/>
        <v>26.45</v>
      </c>
      <c r="S32" s="364">
        <f t="shared" si="5"/>
        <v>8.1635802469135807E-2</v>
      </c>
      <c r="T32" s="344">
        <f t="shared" si="6"/>
        <v>44.201080083061726</v>
      </c>
      <c r="U32" s="344">
        <f t="shared" si="9"/>
        <v>0</v>
      </c>
      <c r="V32" s="362">
        <f t="shared" si="10"/>
        <v>0</v>
      </c>
      <c r="W32" s="436"/>
      <c r="X32" s="302">
        <f t="shared" si="11"/>
        <v>0</v>
      </c>
      <c r="Y32" s="322">
        <f t="shared" si="12"/>
        <v>0</v>
      </c>
    </row>
    <row r="33" spans="1:25" x14ac:dyDescent="0.25">
      <c r="A33" s="148">
        <f>Données!A33</f>
        <v>5434</v>
      </c>
      <c r="B33" s="156" t="str">
        <f>Données!B33</f>
        <v>Saint-George</v>
      </c>
      <c r="C33" s="321">
        <f>Données!C33</f>
        <v>1083</v>
      </c>
      <c r="D33" s="336"/>
      <c r="E33" s="318">
        <f>Données!X33</f>
        <v>1228</v>
      </c>
      <c r="F33" s="361">
        <f t="shared" si="0"/>
        <v>1.133887349953832</v>
      </c>
      <c r="G33" s="336">
        <f t="shared" si="1"/>
        <v>845.9183375634517</v>
      </c>
      <c r="H33" s="344">
        <f t="shared" si="7"/>
        <v>382.0816624365483</v>
      </c>
      <c r="I33" s="362">
        <f t="shared" si="8"/>
        <v>-40627</v>
      </c>
      <c r="J33" s="357"/>
      <c r="K33" s="363">
        <f>Données!Y33</f>
        <v>1083</v>
      </c>
      <c r="L33" s="324">
        <f>Données!Z33</f>
        <v>0.24399999999999999</v>
      </c>
      <c r="M33" s="336">
        <f t="shared" si="2"/>
        <v>142.69535113748765</v>
      </c>
      <c r="N33" s="362">
        <f t="shared" si="3"/>
        <v>-154539</v>
      </c>
      <c r="O33" s="357"/>
      <c r="P33" s="318">
        <f>Données!AA33</f>
        <v>128</v>
      </c>
      <c r="Q33" s="359">
        <f>Données!AB33</f>
        <v>88</v>
      </c>
      <c r="R33" s="302">
        <f t="shared" si="4"/>
        <v>141.19999999999999</v>
      </c>
      <c r="S33" s="364">
        <f t="shared" si="5"/>
        <v>0.13037857802400737</v>
      </c>
      <c r="T33" s="344">
        <f t="shared" si="6"/>
        <v>147.7462028702341</v>
      </c>
      <c r="U33" s="344">
        <f t="shared" si="9"/>
        <v>0</v>
      </c>
      <c r="V33" s="362">
        <f t="shared" si="10"/>
        <v>0</v>
      </c>
      <c r="W33" s="436"/>
      <c r="X33" s="302">
        <f t="shared" si="11"/>
        <v>0</v>
      </c>
      <c r="Y33" s="322">
        <f t="shared" si="12"/>
        <v>0</v>
      </c>
    </row>
    <row r="34" spans="1:25" x14ac:dyDescent="0.25">
      <c r="A34" s="148">
        <f>Données!A34</f>
        <v>5435</v>
      </c>
      <c r="B34" s="156" t="str">
        <f>Données!B34</f>
        <v>Saint-Livres</v>
      </c>
      <c r="C34" s="321">
        <f>Données!C34</f>
        <v>715</v>
      </c>
      <c r="D34" s="336"/>
      <c r="E34" s="318">
        <f>Données!X34</f>
        <v>805</v>
      </c>
      <c r="F34" s="361">
        <f t="shared" si="0"/>
        <v>1.1258741258741258</v>
      </c>
      <c r="G34" s="336">
        <f t="shared" si="1"/>
        <v>558.47794215869624</v>
      </c>
      <c r="H34" s="344">
        <f t="shared" si="7"/>
        <v>246.52205784130376</v>
      </c>
      <c r="I34" s="362">
        <f t="shared" si="8"/>
        <v>-26213</v>
      </c>
      <c r="J34" s="357"/>
      <c r="K34" s="363">
        <f>Données!Y34</f>
        <v>0</v>
      </c>
      <c r="L34" s="324">
        <f>Données!Z34</f>
        <v>0.13300000000000001</v>
      </c>
      <c r="M34" s="336">
        <f t="shared" si="2"/>
        <v>77.78066271018794</v>
      </c>
      <c r="N34" s="362">
        <f t="shared" si="3"/>
        <v>0</v>
      </c>
      <c r="O34" s="357"/>
      <c r="P34" s="318">
        <f>Données!AA34</f>
        <v>81</v>
      </c>
      <c r="Q34" s="359">
        <f>Données!AB34</f>
        <v>46</v>
      </c>
      <c r="R34" s="302">
        <f t="shared" si="4"/>
        <v>87.9</v>
      </c>
      <c r="S34" s="364">
        <f t="shared" si="5"/>
        <v>0.12293706293706294</v>
      </c>
      <c r="T34" s="344">
        <f t="shared" si="6"/>
        <v>97.542506973423258</v>
      </c>
      <c r="U34" s="344">
        <f t="shared" si="9"/>
        <v>0</v>
      </c>
      <c r="V34" s="362">
        <f t="shared" si="10"/>
        <v>0</v>
      </c>
      <c r="W34" s="436"/>
      <c r="X34" s="302">
        <f t="shared" si="11"/>
        <v>0</v>
      </c>
      <c r="Y34" s="322">
        <f t="shared" si="12"/>
        <v>0</v>
      </c>
    </row>
    <row r="35" spans="1:25" x14ac:dyDescent="0.25">
      <c r="A35" s="148">
        <f>Données!A35</f>
        <v>5436</v>
      </c>
      <c r="B35" s="156" t="str">
        <f>Données!B35</f>
        <v>Saint-Oyens</v>
      </c>
      <c r="C35" s="321">
        <f>Données!C35</f>
        <v>457</v>
      </c>
      <c r="D35" s="336"/>
      <c r="E35" s="318">
        <f>Données!X35</f>
        <v>303</v>
      </c>
      <c r="F35" s="361">
        <f t="shared" si="0"/>
        <v>0.66301969365426694</v>
      </c>
      <c r="G35" s="336">
        <f t="shared" si="1"/>
        <v>356.95723016297086</v>
      </c>
      <c r="H35" s="344">
        <f t="shared" si="7"/>
        <v>0</v>
      </c>
      <c r="I35" s="362">
        <f t="shared" si="8"/>
        <v>0</v>
      </c>
      <c r="J35" s="357"/>
      <c r="K35" s="363">
        <f>Données!Y35</f>
        <v>332</v>
      </c>
      <c r="L35" s="324">
        <f>Données!Z35</f>
        <v>8.8999999999999996E-2</v>
      </c>
      <c r="M35" s="336">
        <f t="shared" si="2"/>
        <v>52.048714144411477</v>
      </c>
      <c r="N35" s="362">
        <f t="shared" si="3"/>
        <v>-17280</v>
      </c>
      <c r="O35" s="357"/>
      <c r="P35" s="318">
        <f>Données!AA35</f>
        <v>60</v>
      </c>
      <c r="Q35" s="359">
        <f>Données!AB35</f>
        <v>11</v>
      </c>
      <c r="R35" s="302">
        <f t="shared" si="4"/>
        <v>61.65</v>
      </c>
      <c r="S35" s="364">
        <f t="shared" si="5"/>
        <v>0.1349015317286652</v>
      </c>
      <c r="T35" s="344">
        <f t="shared" si="6"/>
        <v>62.345350610985214</v>
      </c>
      <c r="U35" s="344">
        <f t="shared" si="9"/>
        <v>0</v>
      </c>
      <c r="V35" s="362">
        <f t="shared" si="10"/>
        <v>0</v>
      </c>
      <c r="W35" s="436"/>
      <c r="X35" s="302">
        <f t="shared" si="11"/>
        <v>0</v>
      </c>
      <c r="Y35" s="322">
        <f t="shared" si="12"/>
        <v>0</v>
      </c>
    </row>
    <row r="36" spans="1:25" x14ac:dyDescent="0.25">
      <c r="A36" s="148">
        <f>Données!A36</f>
        <v>5437</v>
      </c>
      <c r="B36" s="156" t="str">
        <f>Données!B36</f>
        <v>Saubraz</v>
      </c>
      <c r="C36" s="321">
        <f>Données!C36</f>
        <v>446</v>
      </c>
      <c r="D36" s="336"/>
      <c r="E36" s="318">
        <f>Données!X36</f>
        <v>366</v>
      </c>
      <c r="F36" s="361">
        <f t="shared" si="0"/>
        <v>0.820627802690583</v>
      </c>
      <c r="G36" s="336">
        <f t="shared" si="1"/>
        <v>348.36526182206785</v>
      </c>
      <c r="H36" s="344">
        <f t="shared" si="7"/>
        <v>17.634738177932149</v>
      </c>
      <c r="I36" s="362">
        <f t="shared" si="8"/>
        <v>-1875</v>
      </c>
      <c r="J36" s="357"/>
      <c r="K36" s="363">
        <f>Données!Y36</f>
        <v>8</v>
      </c>
      <c r="L36" s="324">
        <f>Données!Z36</f>
        <v>0.14799999999999999</v>
      </c>
      <c r="M36" s="336">
        <f t="shared" si="2"/>
        <v>86.552917903066273</v>
      </c>
      <c r="N36" s="362">
        <f t="shared" si="3"/>
        <v>-692</v>
      </c>
      <c r="O36" s="357"/>
      <c r="P36" s="318">
        <f>Données!AA36</f>
        <v>61</v>
      </c>
      <c r="Q36" s="359">
        <f>Données!AB36</f>
        <v>44</v>
      </c>
      <c r="R36" s="302">
        <f t="shared" si="4"/>
        <v>67.599999999999994</v>
      </c>
      <c r="S36" s="364">
        <f t="shared" si="5"/>
        <v>0.15156950672645739</v>
      </c>
      <c r="T36" s="344">
        <f t="shared" si="6"/>
        <v>60.844696657547935</v>
      </c>
      <c r="U36" s="344">
        <f t="shared" si="9"/>
        <v>6.7553033424520592</v>
      </c>
      <c r="V36" s="362">
        <f t="shared" si="10"/>
        <v>-28732</v>
      </c>
      <c r="W36" s="436"/>
      <c r="X36" s="302">
        <f t="shared" si="11"/>
        <v>-28071.216617210681</v>
      </c>
      <c r="Y36" s="322">
        <f t="shared" si="12"/>
        <v>-660.78338278931915</v>
      </c>
    </row>
    <row r="37" spans="1:25" x14ac:dyDescent="0.25">
      <c r="A37" s="148">
        <f>Données!A37</f>
        <v>5451</v>
      </c>
      <c r="B37" s="156" t="str">
        <f>Données!B37</f>
        <v>Avenches</v>
      </c>
      <c r="C37" s="321">
        <f>Données!C37</f>
        <v>4895</v>
      </c>
      <c r="D37" s="336"/>
      <c r="E37" s="318">
        <f>Données!X37</f>
        <v>1922</v>
      </c>
      <c r="F37" s="361">
        <f t="shared" si="0"/>
        <v>0.3926455566905005</v>
      </c>
      <c r="G37" s="336">
        <f t="shared" si="1"/>
        <v>3823.4259117018432</v>
      </c>
      <c r="H37" s="344">
        <f t="shared" si="7"/>
        <v>0</v>
      </c>
      <c r="I37" s="362">
        <f t="shared" si="8"/>
        <v>0</v>
      </c>
      <c r="J37" s="357"/>
      <c r="K37" s="363">
        <f>Données!Y37</f>
        <v>0</v>
      </c>
      <c r="L37" s="324">
        <f>Données!Z37</f>
        <v>5.1999999999999998E-2</v>
      </c>
      <c r="M37" s="336">
        <f t="shared" si="2"/>
        <v>30.410484668644905</v>
      </c>
      <c r="N37" s="362">
        <f t="shared" si="3"/>
        <v>0</v>
      </c>
      <c r="O37" s="357"/>
      <c r="P37" s="318">
        <f>Données!AA37</f>
        <v>668</v>
      </c>
      <c r="Q37" s="359">
        <f>Données!AB37</f>
        <v>139</v>
      </c>
      <c r="R37" s="302">
        <f t="shared" si="4"/>
        <v>688.85</v>
      </c>
      <c r="S37" s="364">
        <f t="shared" si="5"/>
        <v>0.14072522982635344</v>
      </c>
      <c r="T37" s="344">
        <f t="shared" si="6"/>
        <v>667.79100927958996</v>
      </c>
      <c r="U37" s="344">
        <f t="shared" si="9"/>
        <v>21.058990720410065</v>
      </c>
      <c r="V37" s="362">
        <f t="shared" si="10"/>
        <v>-89568</v>
      </c>
      <c r="W37" s="436"/>
      <c r="X37" s="302">
        <f t="shared" si="11"/>
        <v>-88679.525222551907</v>
      </c>
      <c r="Y37" s="322">
        <f t="shared" si="12"/>
        <v>-888.47477744809294</v>
      </c>
    </row>
    <row r="38" spans="1:25" x14ac:dyDescent="0.25">
      <c r="A38" s="148">
        <f>Données!A38</f>
        <v>5456</v>
      </c>
      <c r="B38" s="156" t="str">
        <f>Données!B38</f>
        <v>Cudrefin</v>
      </c>
      <c r="C38" s="321">
        <f>Données!C38</f>
        <v>1885</v>
      </c>
      <c r="D38" s="336"/>
      <c r="E38" s="318">
        <f>Données!X38</f>
        <v>1451</v>
      </c>
      <c r="F38" s="361">
        <f t="shared" si="0"/>
        <v>0.76976127320954912</v>
      </c>
      <c r="G38" s="336">
        <f t="shared" si="1"/>
        <v>1472.350938418381</v>
      </c>
      <c r="H38" s="344">
        <f t="shared" si="7"/>
        <v>0</v>
      </c>
      <c r="I38" s="362">
        <f t="shared" si="8"/>
        <v>0</v>
      </c>
      <c r="J38" s="357"/>
      <c r="K38" s="363">
        <f>Données!Y38</f>
        <v>0</v>
      </c>
      <c r="L38" s="324">
        <f>Données!Z38</f>
        <v>2.8000000000000001E-2</v>
      </c>
      <c r="M38" s="336">
        <f t="shared" si="2"/>
        <v>16.374876360039565</v>
      </c>
      <c r="N38" s="362">
        <f t="shared" si="3"/>
        <v>0</v>
      </c>
      <c r="O38" s="357"/>
      <c r="P38" s="318">
        <f>Données!AA38</f>
        <v>228</v>
      </c>
      <c r="Q38" s="359">
        <f>Données!AB38</f>
        <v>114</v>
      </c>
      <c r="R38" s="302">
        <f t="shared" si="4"/>
        <v>245.1</v>
      </c>
      <c r="S38" s="364">
        <f t="shared" si="5"/>
        <v>0.13002652519893898</v>
      </c>
      <c r="T38" s="344">
        <f t="shared" si="6"/>
        <v>257.15751838447949</v>
      </c>
      <c r="U38" s="344">
        <f t="shared" si="9"/>
        <v>0</v>
      </c>
      <c r="V38" s="362">
        <f t="shared" si="10"/>
        <v>0</v>
      </c>
      <c r="W38" s="436"/>
      <c r="X38" s="302">
        <f t="shared" si="11"/>
        <v>0</v>
      </c>
      <c r="Y38" s="322">
        <f t="shared" si="12"/>
        <v>0</v>
      </c>
    </row>
    <row r="39" spans="1:25" x14ac:dyDescent="0.25">
      <c r="A39" s="148">
        <f>Données!A39</f>
        <v>5458</v>
      </c>
      <c r="B39" s="156" t="str">
        <f>Données!B39</f>
        <v>Faoug</v>
      </c>
      <c r="C39" s="321">
        <f>Données!C39</f>
        <v>900</v>
      </c>
      <c r="D39" s="336"/>
      <c r="E39" s="318">
        <f>Données!X39</f>
        <v>347</v>
      </c>
      <c r="F39" s="361">
        <f t="shared" si="0"/>
        <v>0.38555555555555554</v>
      </c>
      <c r="G39" s="336">
        <f t="shared" si="1"/>
        <v>702.97922789206518</v>
      </c>
      <c r="H39" s="344">
        <f t="shared" si="7"/>
        <v>0</v>
      </c>
      <c r="I39" s="362">
        <f t="shared" si="8"/>
        <v>0</v>
      </c>
      <c r="J39" s="357"/>
      <c r="K39" s="363">
        <f>Données!Y39</f>
        <v>0</v>
      </c>
      <c r="L39" s="324">
        <f>Données!Z39</f>
        <v>3.1E-2</v>
      </c>
      <c r="M39" s="336">
        <f t="shared" si="2"/>
        <v>18.129327398615235</v>
      </c>
      <c r="N39" s="362">
        <f t="shared" si="3"/>
        <v>0</v>
      </c>
      <c r="O39" s="357"/>
      <c r="P39" s="318">
        <f>Données!AA39</f>
        <v>90</v>
      </c>
      <c r="Q39" s="359">
        <f>Données!AB39</f>
        <v>60</v>
      </c>
      <c r="R39" s="302">
        <f t="shared" si="4"/>
        <v>99</v>
      </c>
      <c r="S39" s="364">
        <f t="shared" si="5"/>
        <v>0.11</v>
      </c>
      <c r="T39" s="344">
        <f t="shared" si="6"/>
        <v>122.7807780085048</v>
      </c>
      <c r="U39" s="344">
        <f t="shared" si="9"/>
        <v>0</v>
      </c>
      <c r="V39" s="362">
        <f t="shared" si="10"/>
        <v>0</v>
      </c>
      <c r="W39" s="436"/>
      <c r="X39" s="302">
        <f t="shared" si="11"/>
        <v>0</v>
      </c>
      <c r="Y39" s="322">
        <f t="shared" si="12"/>
        <v>0</v>
      </c>
    </row>
    <row r="40" spans="1:25" x14ac:dyDescent="0.25">
      <c r="A40" s="148">
        <f>Données!A40</f>
        <v>5464</v>
      </c>
      <c r="B40" s="156" t="str">
        <f>Données!B40</f>
        <v>Vully-les-Lacs</v>
      </c>
      <c r="C40" s="321">
        <f>Données!C40</f>
        <v>3639</v>
      </c>
      <c r="D40" s="336"/>
      <c r="E40" s="318">
        <f>Données!X40</f>
        <v>2027</v>
      </c>
      <c r="F40" s="361">
        <f t="shared" si="0"/>
        <v>0.55702115965924703</v>
      </c>
      <c r="G40" s="336">
        <f t="shared" si="1"/>
        <v>2842.3793447769167</v>
      </c>
      <c r="H40" s="344">
        <f t="shared" si="7"/>
        <v>0</v>
      </c>
      <c r="I40" s="362">
        <f t="shared" si="8"/>
        <v>0</v>
      </c>
      <c r="J40" s="357"/>
      <c r="K40" s="363">
        <f>Données!Y40</f>
        <v>0</v>
      </c>
      <c r="L40" s="324">
        <f>Données!Z40</f>
        <v>6.2E-2</v>
      </c>
      <c r="M40" s="336">
        <f t="shared" si="2"/>
        <v>36.25865479723047</v>
      </c>
      <c r="N40" s="362">
        <f t="shared" si="3"/>
        <v>0</v>
      </c>
      <c r="O40" s="357"/>
      <c r="P40" s="318">
        <f>Données!AA40</f>
        <v>433</v>
      </c>
      <c r="Q40" s="359">
        <f>Données!AB40</f>
        <v>265</v>
      </c>
      <c r="R40" s="302">
        <f t="shared" si="4"/>
        <v>472.75</v>
      </c>
      <c r="S40" s="364">
        <f t="shared" si="5"/>
        <v>0.12991206375377851</v>
      </c>
      <c r="T40" s="344">
        <f t="shared" si="6"/>
        <v>496.4436124143877</v>
      </c>
      <c r="U40" s="344">
        <f t="shared" si="9"/>
        <v>0</v>
      </c>
      <c r="V40" s="362">
        <f t="shared" si="10"/>
        <v>0</v>
      </c>
      <c r="W40" s="436"/>
      <c r="X40" s="302">
        <f t="shared" si="11"/>
        <v>0</v>
      </c>
      <c r="Y40" s="322">
        <f t="shared" si="12"/>
        <v>0</v>
      </c>
    </row>
    <row r="41" spans="1:25" x14ac:dyDescent="0.25">
      <c r="A41" s="148">
        <f>Données!A41</f>
        <v>5471</v>
      </c>
      <c r="B41" s="156" t="str">
        <f>Données!B41</f>
        <v>Bettens</v>
      </c>
      <c r="C41" s="321">
        <f>Données!C41</f>
        <v>653</v>
      </c>
      <c r="D41" s="336"/>
      <c r="E41" s="318">
        <f>Données!X41</f>
        <v>369</v>
      </c>
      <c r="F41" s="361">
        <f t="shared" si="0"/>
        <v>0.56508422664624813</v>
      </c>
      <c r="G41" s="336">
        <f t="shared" si="1"/>
        <v>510.05048423724281</v>
      </c>
      <c r="H41" s="344">
        <f t="shared" si="7"/>
        <v>0</v>
      </c>
      <c r="I41" s="362">
        <f t="shared" si="8"/>
        <v>0</v>
      </c>
      <c r="J41" s="357"/>
      <c r="K41" s="363">
        <f>Données!Y41</f>
        <v>0</v>
      </c>
      <c r="L41" s="324">
        <f>Données!Z41</f>
        <v>4.1000000000000002E-2</v>
      </c>
      <c r="M41" s="336">
        <f t="shared" si="2"/>
        <v>23.977497527200793</v>
      </c>
      <c r="N41" s="362">
        <f t="shared" si="3"/>
        <v>0</v>
      </c>
      <c r="O41" s="357"/>
      <c r="P41" s="318">
        <f>Données!AA41</f>
        <v>85</v>
      </c>
      <c r="Q41" s="359">
        <f>Données!AB41</f>
        <v>66</v>
      </c>
      <c r="R41" s="302">
        <f t="shared" si="4"/>
        <v>94.9</v>
      </c>
      <c r="S41" s="364">
        <f t="shared" si="5"/>
        <v>0.14532924961715163</v>
      </c>
      <c r="T41" s="344">
        <f t="shared" si="6"/>
        <v>89.084275599504039</v>
      </c>
      <c r="U41" s="344">
        <f t="shared" si="9"/>
        <v>5.8157244004959665</v>
      </c>
      <c r="V41" s="362">
        <f t="shared" si="10"/>
        <v>-24736</v>
      </c>
      <c r="W41" s="436"/>
      <c r="X41" s="302">
        <f t="shared" si="11"/>
        <v>-24736</v>
      </c>
      <c r="Y41" s="322">
        <f t="shared" si="12"/>
        <v>0</v>
      </c>
    </row>
    <row r="42" spans="1:25" x14ac:dyDescent="0.25">
      <c r="A42" s="148">
        <f>Données!A42</f>
        <v>5472</v>
      </c>
      <c r="B42" s="156" t="str">
        <f>Données!B42</f>
        <v>Bournens</v>
      </c>
      <c r="C42" s="321">
        <f>Données!C42</f>
        <v>532</v>
      </c>
      <c r="D42" s="336"/>
      <c r="E42" s="318">
        <f>Données!X42</f>
        <v>386</v>
      </c>
      <c r="F42" s="361">
        <f t="shared" si="0"/>
        <v>0.72556390977443608</v>
      </c>
      <c r="G42" s="336">
        <f t="shared" si="1"/>
        <v>415.53883248730961</v>
      </c>
      <c r="H42" s="344">
        <f t="shared" si="7"/>
        <v>0</v>
      </c>
      <c r="I42" s="362">
        <f t="shared" si="8"/>
        <v>0</v>
      </c>
      <c r="J42" s="357"/>
      <c r="K42" s="363">
        <f>Données!Y42</f>
        <v>0</v>
      </c>
      <c r="L42" s="324">
        <f>Données!Z42</f>
        <v>1.6E-2</v>
      </c>
      <c r="M42" s="336">
        <f t="shared" si="2"/>
        <v>9.3570722057368947</v>
      </c>
      <c r="N42" s="362">
        <f t="shared" si="3"/>
        <v>0</v>
      </c>
      <c r="O42" s="357"/>
      <c r="P42" s="318">
        <f>Données!AA42</f>
        <v>55</v>
      </c>
      <c r="Q42" s="359">
        <f>Données!AB42</f>
        <v>34</v>
      </c>
      <c r="R42" s="302">
        <f t="shared" si="4"/>
        <v>60.1</v>
      </c>
      <c r="S42" s="364">
        <f t="shared" si="5"/>
        <v>0.11296992481203008</v>
      </c>
      <c r="T42" s="344">
        <f t="shared" si="6"/>
        <v>72.57708211169394</v>
      </c>
      <c r="U42" s="344">
        <f t="shared" si="9"/>
        <v>0</v>
      </c>
      <c r="V42" s="362">
        <f t="shared" si="10"/>
        <v>0</v>
      </c>
      <c r="W42" s="436"/>
      <c r="X42" s="302">
        <f t="shared" si="11"/>
        <v>0</v>
      </c>
      <c r="Y42" s="322">
        <f t="shared" si="12"/>
        <v>0</v>
      </c>
    </row>
    <row r="43" spans="1:25" x14ac:dyDescent="0.25">
      <c r="A43" s="148">
        <f>Données!A43</f>
        <v>5473</v>
      </c>
      <c r="B43" s="156" t="str">
        <f>Données!B43</f>
        <v>Boussens</v>
      </c>
      <c r="C43" s="321">
        <f>Données!C43</f>
        <v>1007</v>
      </c>
      <c r="D43" s="336"/>
      <c r="E43" s="318">
        <f>Données!X43</f>
        <v>318</v>
      </c>
      <c r="F43" s="361">
        <f t="shared" si="0"/>
        <v>0.31578947368421051</v>
      </c>
      <c r="G43" s="336">
        <f t="shared" si="1"/>
        <v>786.55564720812174</v>
      </c>
      <c r="H43" s="344">
        <f t="shared" si="7"/>
        <v>0</v>
      </c>
      <c r="I43" s="362">
        <f t="shared" si="8"/>
        <v>0</v>
      </c>
      <c r="J43" s="357"/>
      <c r="K43" s="363">
        <f>Données!Y43</f>
        <v>0</v>
      </c>
      <c r="L43" s="324">
        <f>Données!Z43</f>
        <v>4.0000000000000001E-3</v>
      </c>
      <c r="M43" s="336">
        <f t="shared" si="2"/>
        <v>2.3392680514342237</v>
      </c>
      <c r="N43" s="362">
        <f t="shared" si="3"/>
        <v>0</v>
      </c>
      <c r="O43" s="357"/>
      <c r="P43" s="318">
        <f>Données!AA43</f>
        <v>160</v>
      </c>
      <c r="Q43" s="359">
        <f>Données!AB43</f>
        <v>96</v>
      </c>
      <c r="R43" s="302">
        <f t="shared" si="4"/>
        <v>174.4</v>
      </c>
      <c r="S43" s="364">
        <f t="shared" si="5"/>
        <v>0.17318768619662364</v>
      </c>
      <c r="T43" s="344">
        <f t="shared" si="6"/>
        <v>137.37804828284925</v>
      </c>
      <c r="U43" s="344">
        <f t="shared" si="9"/>
        <v>37.021951717150756</v>
      </c>
      <c r="V43" s="362">
        <f t="shared" si="10"/>
        <v>-157462</v>
      </c>
      <c r="W43" s="436"/>
      <c r="X43" s="302">
        <f t="shared" si="11"/>
        <v>-61246.290801186937</v>
      </c>
      <c r="Y43" s="322">
        <f t="shared" si="12"/>
        <v>-96215.709198813071</v>
      </c>
    </row>
    <row r="44" spans="1:25" x14ac:dyDescent="0.25">
      <c r="A44" s="148">
        <f>Données!A44</f>
        <v>5474</v>
      </c>
      <c r="B44" s="156" t="str">
        <f>Données!B44</f>
        <v>La Chaux (Cossonay)</v>
      </c>
      <c r="C44" s="321">
        <f>Données!C44</f>
        <v>436</v>
      </c>
      <c r="D44" s="336"/>
      <c r="E44" s="318">
        <f>Données!X44</f>
        <v>674</v>
      </c>
      <c r="F44" s="361">
        <f t="shared" si="0"/>
        <v>1.5458715596330275</v>
      </c>
      <c r="G44" s="336">
        <f t="shared" si="1"/>
        <v>340.554381512156</v>
      </c>
      <c r="H44" s="344">
        <f t="shared" si="7"/>
        <v>333.445618487844</v>
      </c>
      <c r="I44" s="362">
        <f t="shared" si="8"/>
        <v>-35455</v>
      </c>
      <c r="J44" s="357"/>
      <c r="K44" s="363">
        <f>Données!Y44</f>
        <v>0</v>
      </c>
      <c r="L44" s="324">
        <f>Données!Z44</f>
        <v>4.2000000000000003E-2</v>
      </c>
      <c r="M44" s="336">
        <f t="shared" si="2"/>
        <v>24.562314540059351</v>
      </c>
      <c r="N44" s="362">
        <f t="shared" si="3"/>
        <v>0</v>
      </c>
      <c r="O44" s="357"/>
      <c r="P44" s="318">
        <f>Données!AA44</f>
        <v>58</v>
      </c>
      <c r="Q44" s="359">
        <f>Données!AB44</f>
        <v>58</v>
      </c>
      <c r="R44" s="302">
        <f t="shared" si="4"/>
        <v>66.7</v>
      </c>
      <c r="S44" s="364">
        <f t="shared" si="5"/>
        <v>0.1529816513761468</v>
      </c>
      <c r="T44" s="344">
        <f t="shared" si="6"/>
        <v>59.480465790786766</v>
      </c>
      <c r="U44" s="344">
        <f t="shared" si="9"/>
        <v>7.2195342092132364</v>
      </c>
      <c r="V44" s="362">
        <f t="shared" si="10"/>
        <v>-30706</v>
      </c>
      <c r="W44" s="436"/>
      <c r="X44" s="302">
        <f t="shared" si="11"/>
        <v>-30706</v>
      </c>
      <c r="Y44" s="322">
        <f t="shared" si="12"/>
        <v>0</v>
      </c>
    </row>
    <row r="45" spans="1:25" x14ac:dyDescent="0.25">
      <c r="A45" s="148">
        <f>Données!A45</f>
        <v>5475</v>
      </c>
      <c r="B45" s="156" t="str">
        <f>Données!B45</f>
        <v>Chavannes-le-Veyron</v>
      </c>
      <c r="C45" s="321">
        <f>Données!C45</f>
        <v>160</v>
      </c>
      <c r="D45" s="336"/>
      <c r="E45" s="318">
        <f>Données!X45</f>
        <v>264</v>
      </c>
      <c r="F45" s="361">
        <f t="shared" si="0"/>
        <v>1.65</v>
      </c>
      <c r="G45" s="336">
        <f t="shared" si="1"/>
        <v>124.97408495858936</v>
      </c>
      <c r="H45" s="344">
        <f t="shared" si="7"/>
        <v>139.02591504141066</v>
      </c>
      <c r="I45" s="362">
        <f t="shared" si="8"/>
        <v>-14783</v>
      </c>
      <c r="J45" s="357"/>
      <c r="K45" s="363">
        <f>Données!Y45</f>
        <v>0</v>
      </c>
      <c r="L45" s="324">
        <f>Données!Z45</f>
        <v>6.0999999999999999E-2</v>
      </c>
      <c r="M45" s="336">
        <f t="shared" si="2"/>
        <v>35.673837784371912</v>
      </c>
      <c r="N45" s="362">
        <f t="shared" si="3"/>
        <v>0</v>
      </c>
      <c r="O45" s="357"/>
      <c r="P45" s="318">
        <f>Données!AA45</f>
        <v>28</v>
      </c>
      <c r="Q45" s="359">
        <f>Données!AB45</f>
        <v>13</v>
      </c>
      <c r="R45" s="302">
        <f t="shared" si="4"/>
        <v>29.95</v>
      </c>
      <c r="S45" s="364">
        <f t="shared" si="5"/>
        <v>0.18718750000000001</v>
      </c>
      <c r="T45" s="344">
        <f t="shared" si="6"/>
        <v>21.827693868178631</v>
      </c>
      <c r="U45" s="344">
        <f t="shared" si="9"/>
        <v>8.1223061318213681</v>
      </c>
      <c r="V45" s="362">
        <f t="shared" si="10"/>
        <v>-34546</v>
      </c>
      <c r="W45" s="436"/>
      <c r="X45" s="302">
        <f t="shared" si="11"/>
        <v>-8293.768545994064</v>
      </c>
      <c r="Y45" s="322">
        <f t="shared" si="12"/>
        <v>-26252.231454005938</v>
      </c>
    </row>
    <row r="46" spans="1:25" x14ac:dyDescent="0.25">
      <c r="A46" s="148">
        <f>Données!A46</f>
        <v>5476</v>
      </c>
      <c r="B46" s="156" t="str">
        <f>Données!B46</f>
        <v>Chevilly</v>
      </c>
      <c r="C46" s="321">
        <f>Données!C46</f>
        <v>346</v>
      </c>
      <c r="D46" s="336"/>
      <c r="E46" s="318">
        <f>Données!X46</f>
        <v>381</v>
      </c>
      <c r="F46" s="361">
        <f t="shared" si="0"/>
        <v>1.1011560693641618</v>
      </c>
      <c r="G46" s="336">
        <f t="shared" si="1"/>
        <v>270.2564587229495</v>
      </c>
      <c r="H46" s="344">
        <f t="shared" si="7"/>
        <v>110.7435412770505</v>
      </c>
      <c r="I46" s="362">
        <f t="shared" si="8"/>
        <v>-11775</v>
      </c>
      <c r="J46" s="357"/>
      <c r="K46" s="363">
        <f>Données!Y46</f>
        <v>0</v>
      </c>
      <c r="L46" s="324">
        <f>Données!Z46</f>
        <v>9.0999999999999998E-2</v>
      </c>
      <c r="M46" s="336">
        <f t="shared" si="2"/>
        <v>53.218348170128586</v>
      </c>
      <c r="N46" s="362">
        <f t="shared" si="3"/>
        <v>0</v>
      </c>
      <c r="O46" s="357"/>
      <c r="P46" s="318">
        <f>Données!AA46</f>
        <v>47</v>
      </c>
      <c r="Q46" s="359">
        <f>Données!AB46</f>
        <v>47</v>
      </c>
      <c r="R46" s="302">
        <f t="shared" si="4"/>
        <v>54.05</v>
      </c>
      <c r="S46" s="364">
        <f t="shared" si="5"/>
        <v>0.15621387283236993</v>
      </c>
      <c r="T46" s="344">
        <f t="shared" si="6"/>
        <v>47.202387989936291</v>
      </c>
      <c r="U46" s="344">
        <f t="shared" si="9"/>
        <v>6.8476120100637061</v>
      </c>
      <c r="V46" s="362">
        <f t="shared" si="10"/>
        <v>-29124</v>
      </c>
      <c r="W46" s="436"/>
      <c r="X46" s="302">
        <f t="shared" si="11"/>
        <v>-29124</v>
      </c>
      <c r="Y46" s="322">
        <f t="shared" si="12"/>
        <v>0</v>
      </c>
    </row>
    <row r="47" spans="1:25" x14ac:dyDescent="0.25">
      <c r="A47" s="148">
        <f>Données!A47</f>
        <v>5477</v>
      </c>
      <c r="B47" s="156" t="str">
        <f>Données!B47</f>
        <v>Cossonay</v>
      </c>
      <c r="C47" s="321">
        <f>Données!C47</f>
        <v>4902</v>
      </c>
      <c r="D47" s="336"/>
      <c r="E47" s="318">
        <f>Données!X47</f>
        <v>818</v>
      </c>
      <c r="F47" s="361">
        <f t="shared" si="0"/>
        <v>0.16687066503467973</v>
      </c>
      <c r="G47" s="336">
        <f t="shared" si="1"/>
        <v>3828.8935279187817</v>
      </c>
      <c r="H47" s="344">
        <f t="shared" si="7"/>
        <v>0</v>
      </c>
      <c r="I47" s="362">
        <f t="shared" si="8"/>
        <v>0</v>
      </c>
      <c r="J47" s="357"/>
      <c r="K47" s="363">
        <f>Données!Y47</f>
        <v>0</v>
      </c>
      <c r="L47" s="324">
        <f>Données!Z47</f>
        <v>0.06</v>
      </c>
      <c r="M47" s="336">
        <f t="shared" si="2"/>
        <v>35.089020771513354</v>
      </c>
      <c r="N47" s="362">
        <f t="shared" si="3"/>
        <v>0</v>
      </c>
      <c r="O47" s="357"/>
      <c r="P47" s="318">
        <f>Données!AA47</f>
        <v>568</v>
      </c>
      <c r="Q47" s="359">
        <f>Données!AB47</f>
        <v>59</v>
      </c>
      <c r="R47" s="302">
        <f t="shared" si="4"/>
        <v>576.85</v>
      </c>
      <c r="S47" s="364">
        <f t="shared" si="5"/>
        <v>0.1176764585883313</v>
      </c>
      <c r="T47" s="344">
        <f t="shared" si="6"/>
        <v>668.74597088632277</v>
      </c>
      <c r="U47" s="344">
        <f t="shared" si="9"/>
        <v>0</v>
      </c>
      <c r="V47" s="362">
        <f t="shared" si="10"/>
        <v>0</v>
      </c>
      <c r="W47" s="436"/>
      <c r="X47" s="302">
        <f t="shared" si="11"/>
        <v>0</v>
      </c>
      <c r="Y47" s="322">
        <f t="shared" si="12"/>
        <v>0</v>
      </c>
    </row>
    <row r="48" spans="1:25" x14ac:dyDescent="0.25">
      <c r="A48" s="148">
        <f>Données!A48</f>
        <v>5479</v>
      </c>
      <c r="B48" s="156" t="str">
        <f>Données!B48</f>
        <v>Cuarnens</v>
      </c>
      <c r="C48" s="321">
        <f>Données!C48</f>
        <v>561</v>
      </c>
      <c r="D48" s="336"/>
      <c r="E48" s="318">
        <f>Données!X48</f>
        <v>704</v>
      </c>
      <c r="F48" s="361">
        <f t="shared" si="0"/>
        <v>1.2549019607843137</v>
      </c>
      <c r="G48" s="336">
        <f t="shared" si="1"/>
        <v>438.19038538605395</v>
      </c>
      <c r="H48" s="344">
        <f t="shared" si="7"/>
        <v>265.80961461394605</v>
      </c>
      <c r="I48" s="362">
        <f t="shared" si="8"/>
        <v>-28264</v>
      </c>
      <c r="J48" s="357"/>
      <c r="K48" s="363">
        <f>Données!Y48</f>
        <v>0</v>
      </c>
      <c r="L48" s="324">
        <f>Données!Z48</f>
        <v>2.1000000000000001E-2</v>
      </c>
      <c r="M48" s="336">
        <f t="shared" si="2"/>
        <v>12.281157270029675</v>
      </c>
      <c r="N48" s="362">
        <f t="shared" si="3"/>
        <v>0</v>
      </c>
      <c r="O48" s="357"/>
      <c r="P48" s="318">
        <f>Données!AA48</f>
        <v>76</v>
      </c>
      <c r="Q48" s="359">
        <f>Données!AB48</f>
        <v>33</v>
      </c>
      <c r="R48" s="302">
        <f t="shared" si="4"/>
        <v>80.95</v>
      </c>
      <c r="S48" s="364">
        <f t="shared" si="5"/>
        <v>0.14429590017825311</v>
      </c>
      <c r="T48" s="344">
        <f t="shared" si="6"/>
        <v>76.533351625301322</v>
      </c>
      <c r="U48" s="344">
        <f t="shared" si="9"/>
        <v>4.4166483746986813</v>
      </c>
      <c r="V48" s="362">
        <f t="shared" si="10"/>
        <v>-18785</v>
      </c>
      <c r="W48" s="436"/>
      <c r="X48" s="302">
        <f t="shared" si="11"/>
        <v>-18785</v>
      </c>
      <c r="Y48" s="322">
        <f t="shared" si="12"/>
        <v>0</v>
      </c>
    </row>
    <row r="49" spans="1:25" x14ac:dyDescent="0.25">
      <c r="A49" s="148">
        <f>Données!A49</f>
        <v>5480</v>
      </c>
      <c r="B49" s="156" t="str">
        <f>Données!B49</f>
        <v>Daillens</v>
      </c>
      <c r="C49" s="321">
        <f>Données!C49</f>
        <v>1099</v>
      </c>
      <c r="D49" s="336"/>
      <c r="E49" s="318">
        <f>Données!X49</f>
        <v>546</v>
      </c>
      <c r="F49" s="361">
        <f t="shared" si="0"/>
        <v>0.49681528662420382</v>
      </c>
      <c r="G49" s="336">
        <f t="shared" si="1"/>
        <v>858.41574605931066</v>
      </c>
      <c r="H49" s="344">
        <f t="shared" si="7"/>
        <v>0</v>
      </c>
      <c r="I49" s="362">
        <f t="shared" si="8"/>
        <v>0</v>
      </c>
      <c r="J49" s="357"/>
      <c r="K49" s="363">
        <f>Données!Y49</f>
        <v>0</v>
      </c>
      <c r="L49" s="324">
        <f>Données!Z49</f>
        <v>9.4E-2</v>
      </c>
      <c r="M49" s="336">
        <f t="shared" si="2"/>
        <v>54.972799208704259</v>
      </c>
      <c r="N49" s="362">
        <f t="shared" si="3"/>
        <v>0</v>
      </c>
      <c r="O49" s="357"/>
      <c r="P49" s="318">
        <f>Données!AA49</f>
        <v>166</v>
      </c>
      <c r="Q49" s="359">
        <f>Données!AB49</f>
        <v>110</v>
      </c>
      <c r="R49" s="302">
        <f t="shared" si="4"/>
        <v>182.5</v>
      </c>
      <c r="S49" s="364">
        <f t="shared" si="5"/>
        <v>0.16606005459508644</v>
      </c>
      <c r="T49" s="344">
        <f t="shared" si="6"/>
        <v>149.92897225705195</v>
      </c>
      <c r="U49" s="344">
        <f t="shared" si="9"/>
        <v>32.571027742948047</v>
      </c>
      <c r="V49" s="362">
        <f t="shared" si="10"/>
        <v>-138532</v>
      </c>
      <c r="W49" s="436"/>
      <c r="X49" s="302">
        <f t="shared" si="11"/>
        <v>-70178.041543026702</v>
      </c>
      <c r="Y49" s="322">
        <f t="shared" si="12"/>
        <v>-68353.958456973298</v>
      </c>
    </row>
    <row r="50" spans="1:25" x14ac:dyDescent="0.25">
      <c r="A50" s="148">
        <f>Données!A50</f>
        <v>5481</v>
      </c>
      <c r="B50" s="156" t="str">
        <f>Données!B50</f>
        <v>Dizy</v>
      </c>
      <c r="C50" s="321">
        <f>Données!C50</f>
        <v>238</v>
      </c>
      <c r="D50" s="336"/>
      <c r="E50" s="318">
        <f>Données!X50</f>
        <v>304</v>
      </c>
      <c r="F50" s="361">
        <f t="shared" si="0"/>
        <v>1.2773109243697478</v>
      </c>
      <c r="G50" s="336">
        <f t="shared" si="1"/>
        <v>185.89895137590167</v>
      </c>
      <c r="H50" s="344">
        <f t="shared" si="7"/>
        <v>118.10104862409833</v>
      </c>
      <c r="I50" s="362">
        <f t="shared" si="8"/>
        <v>-12558</v>
      </c>
      <c r="J50" s="357"/>
      <c r="K50" s="363">
        <f>Données!Y50</f>
        <v>0</v>
      </c>
      <c r="L50" s="324">
        <f>Données!Z50</f>
        <v>3.5000000000000003E-2</v>
      </c>
      <c r="M50" s="336">
        <f t="shared" si="2"/>
        <v>20.46859545004946</v>
      </c>
      <c r="N50" s="362">
        <f t="shared" si="3"/>
        <v>0</v>
      </c>
      <c r="O50" s="357"/>
      <c r="P50" s="318">
        <f>Données!AA50</f>
        <v>35</v>
      </c>
      <c r="Q50" s="359">
        <f>Données!AB50</f>
        <v>35</v>
      </c>
      <c r="R50" s="302">
        <f t="shared" si="4"/>
        <v>40.25</v>
      </c>
      <c r="S50" s="364">
        <f t="shared" si="5"/>
        <v>0.16911764705882354</v>
      </c>
      <c r="T50" s="344">
        <f t="shared" si="6"/>
        <v>32.468694628915713</v>
      </c>
      <c r="U50" s="344">
        <f t="shared" si="9"/>
        <v>7.7813053710842865</v>
      </c>
      <c r="V50" s="362">
        <f t="shared" si="10"/>
        <v>-33096</v>
      </c>
      <c r="W50" s="436"/>
      <c r="X50" s="302">
        <f t="shared" si="11"/>
        <v>-22329.376854599406</v>
      </c>
      <c r="Y50" s="322">
        <f t="shared" si="12"/>
        <v>-10766.623145400594</v>
      </c>
    </row>
    <row r="51" spans="1:25" x14ac:dyDescent="0.25">
      <c r="A51" s="148">
        <f>Données!A51</f>
        <v>5482</v>
      </c>
      <c r="B51" s="156" t="str">
        <f>Données!B51</f>
        <v>Eclépens</v>
      </c>
      <c r="C51" s="321">
        <f>Données!C51</f>
        <v>1211</v>
      </c>
      <c r="D51" s="336"/>
      <c r="E51" s="318">
        <f>Données!X51</f>
        <v>576</v>
      </c>
      <c r="F51" s="361">
        <f t="shared" si="0"/>
        <v>0.47563996696944671</v>
      </c>
      <c r="G51" s="336">
        <f t="shared" si="1"/>
        <v>945.89760553032329</v>
      </c>
      <c r="H51" s="344">
        <f t="shared" si="7"/>
        <v>0</v>
      </c>
      <c r="I51" s="362">
        <f t="shared" si="8"/>
        <v>0</v>
      </c>
      <c r="J51" s="357"/>
      <c r="K51" s="363">
        <f>Données!Y51</f>
        <v>0</v>
      </c>
      <c r="L51" s="324">
        <f>Données!Z51</f>
        <v>0.125</v>
      </c>
      <c r="M51" s="336">
        <f t="shared" si="2"/>
        <v>73.102126607319491</v>
      </c>
      <c r="N51" s="362">
        <f t="shared" si="3"/>
        <v>0</v>
      </c>
      <c r="O51" s="357"/>
      <c r="P51" s="318">
        <f>Données!AA51</f>
        <v>162</v>
      </c>
      <c r="Q51" s="359">
        <f>Données!AB51</f>
        <v>4</v>
      </c>
      <c r="R51" s="302">
        <f t="shared" si="4"/>
        <v>162.6</v>
      </c>
      <c r="S51" s="364">
        <f t="shared" si="5"/>
        <v>0.13426919900908341</v>
      </c>
      <c r="T51" s="344">
        <f t="shared" si="6"/>
        <v>165.20835796477701</v>
      </c>
      <c r="U51" s="344">
        <f t="shared" si="9"/>
        <v>0</v>
      </c>
      <c r="V51" s="362">
        <f t="shared" si="10"/>
        <v>0</v>
      </c>
      <c r="W51" s="436"/>
      <c r="X51" s="302">
        <f t="shared" si="11"/>
        <v>0</v>
      </c>
      <c r="Y51" s="322">
        <f t="shared" si="12"/>
        <v>0</v>
      </c>
    </row>
    <row r="52" spans="1:25" x14ac:dyDescent="0.25">
      <c r="A52" s="148">
        <f>Données!A52</f>
        <v>5483</v>
      </c>
      <c r="B52" s="156" t="str">
        <f>Données!B52</f>
        <v>Ferreyres</v>
      </c>
      <c r="C52" s="321">
        <f>Données!C52</f>
        <v>309</v>
      </c>
      <c r="D52" s="336"/>
      <c r="E52" s="318">
        <f>Données!X52</f>
        <v>315</v>
      </c>
      <c r="F52" s="361">
        <f t="shared" si="0"/>
        <v>1.0194174757281553</v>
      </c>
      <c r="G52" s="336">
        <f t="shared" si="1"/>
        <v>241.35620157627571</v>
      </c>
      <c r="H52" s="344">
        <f t="shared" si="7"/>
        <v>73.643798423724292</v>
      </c>
      <c r="I52" s="362">
        <f t="shared" si="8"/>
        <v>-7831</v>
      </c>
      <c r="J52" s="357"/>
      <c r="K52" s="363">
        <f>Données!Y52</f>
        <v>0</v>
      </c>
      <c r="L52" s="324">
        <f>Données!Z52</f>
        <v>3.5999999999999997E-2</v>
      </c>
      <c r="M52" s="336">
        <f t="shared" si="2"/>
        <v>21.05341246290801</v>
      </c>
      <c r="N52" s="362">
        <f t="shared" si="3"/>
        <v>0</v>
      </c>
      <c r="O52" s="357"/>
      <c r="P52" s="318">
        <f>Données!AA52</f>
        <v>36</v>
      </c>
      <c r="Q52" s="359">
        <f>Données!AB52</f>
        <v>29</v>
      </c>
      <c r="R52" s="302">
        <f t="shared" si="4"/>
        <v>40.35</v>
      </c>
      <c r="S52" s="364">
        <f t="shared" si="5"/>
        <v>0.13058252427184466</v>
      </c>
      <c r="T52" s="344">
        <f t="shared" si="6"/>
        <v>42.154733782919983</v>
      </c>
      <c r="U52" s="344">
        <f t="shared" si="9"/>
        <v>0</v>
      </c>
      <c r="V52" s="362">
        <f t="shared" si="10"/>
        <v>0</v>
      </c>
      <c r="W52" s="436"/>
      <c r="X52" s="302">
        <f t="shared" si="11"/>
        <v>0</v>
      </c>
      <c r="Y52" s="322">
        <f t="shared" si="12"/>
        <v>0</v>
      </c>
    </row>
    <row r="53" spans="1:25" x14ac:dyDescent="0.25">
      <c r="A53" s="148">
        <f>Données!A53</f>
        <v>5484</v>
      </c>
      <c r="B53" s="156" t="str">
        <f>Données!B53</f>
        <v>Gollion</v>
      </c>
      <c r="C53" s="321">
        <f>Données!C53</f>
        <v>1064</v>
      </c>
      <c r="D53" s="336"/>
      <c r="E53" s="318">
        <f>Données!X53</f>
        <v>546</v>
      </c>
      <c r="F53" s="361">
        <f t="shared" si="0"/>
        <v>0.51315789473684215</v>
      </c>
      <c r="G53" s="336">
        <f t="shared" si="1"/>
        <v>831.07766497461921</v>
      </c>
      <c r="H53" s="344">
        <f t="shared" si="7"/>
        <v>0</v>
      </c>
      <c r="I53" s="362">
        <f t="shared" si="8"/>
        <v>0</v>
      </c>
      <c r="J53" s="357"/>
      <c r="K53" s="363">
        <f>Données!Y53</f>
        <v>0</v>
      </c>
      <c r="L53" s="324">
        <f>Données!Z53</f>
        <v>7.9000000000000001E-2</v>
      </c>
      <c r="M53" s="336">
        <f t="shared" si="2"/>
        <v>46.200544015825919</v>
      </c>
      <c r="N53" s="362">
        <f t="shared" si="3"/>
        <v>0</v>
      </c>
      <c r="O53" s="357"/>
      <c r="P53" s="318">
        <f>Données!AA53</f>
        <v>137</v>
      </c>
      <c r="Q53" s="359">
        <f>Données!AB53</f>
        <v>60</v>
      </c>
      <c r="R53" s="302">
        <f t="shared" si="4"/>
        <v>146</v>
      </c>
      <c r="S53" s="364">
        <f t="shared" si="5"/>
        <v>0.13721804511278196</v>
      </c>
      <c r="T53" s="344">
        <f t="shared" si="6"/>
        <v>145.15416422338788</v>
      </c>
      <c r="U53" s="344">
        <f t="shared" si="9"/>
        <v>0.84583577661211962</v>
      </c>
      <c r="V53" s="362">
        <f t="shared" si="10"/>
        <v>-3598</v>
      </c>
      <c r="W53" s="436"/>
      <c r="X53" s="302">
        <f t="shared" si="11"/>
        <v>-3598</v>
      </c>
      <c r="Y53" s="322">
        <f t="shared" si="12"/>
        <v>0</v>
      </c>
    </row>
    <row r="54" spans="1:25" x14ac:dyDescent="0.25">
      <c r="A54" s="148">
        <f>Données!A54</f>
        <v>5485</v>
      </c>
      <c r="B54" s="156" t="str">
        <f>Données!B54</f>
        <v>Grancy</v>
      </c>
      <c r="C54" s="321">
        <f>Données!C54</f>
        <v>540</v>
      </c>
      <c r="D54" s="336"/>
      <c r="E54" s="318">
        <f>Données!X54</f>
        <v>563</v>
      </c>
      <c r="F54" s="361">
        <f t="shared" si="0"/>
        <v>1.0425925925925925</v>
      </c>
      <c r="G54" s="336">
        <f t="shared" si="1"/>
        <v>421.78753673523909</v>
      </c>
      <c r="H54" s="344">
        <f t="shared" si="7"/>
        <v>141.21246326476091</v>
      </c>
      <c r="I54" s="362">
        <f t="shared" si="8"/>
        <v>-15015</v>
      </c>
      <c r="J54" s="357"/>
      <c r="K54" s="363">
        <f>Données!Y54</f>
        <v>0</v>
      </c>
      <c r="L54" s="324">
        <f>Données!Z54</f>
        <v>2.3E-2</v>
      </c>
      <c r="M54" s="336">
        <f t="shared" si="2"/>
        <v>13.450791295746786</v>
      </c>
      <c r="N54" s="362">
        <f t="shared" si="3"/>
        <v>0</v>
      </c>
      <c r="O54" s="357"/>
      <c r="P54" s="318">
        <f>Données!AA54</f>
        <v>73</v>
      </c>
      <c r="Q54" s="359">
        <f>Données!AB54</f>
        <v>57</v>
      </c>
      <c r="R54" s="302">
        <f t="shared" si="4"/>
        <v>81.55</v>
      </c>
      <c r="S54" s="364">
        <f t="shared" si="5"/>
        <v>0.15101851851851852</v>
      </c>
      <c r="T54" s="344">
        <f t="shared" si="6"/>
        <v>73.668466805102881</v>
      </c>
      <c r="U54" s="344">
        <f t="shared" si="9"/>
        <v>7.8815331948971163</v>
      </c>
      <c r="V54" s="362">
        <f t="shared" si="10"/>
        <v>-33522</v>
      </c>
      <c r="W54" s="436"/>
      <c r="X54" s="302">
        <f t="shared" si="11"/>
        <v>-33522</v>
      </c>
      <c r="Y54" s="322">
        <f t="shared" si="12"/>
        <v>0</v>
      </c>
    </row>
    <row r="55" spans="1:25" x14ac:dyDescent="0.25">
      <c r="A55" s="148">
        <f>Données!A55</f>
        <v>5486</v>
      </c>
      <c r="B55" s="156" t="str">
        <f>Données!B55</f>
        <v>L'Isle</v>
      </c>
      <c r="C55" s="321">
        <f>Données!C55</f>
        <v>1096</v>
      </c>
      <c r="D55" s="336"/>
      <c r="E55" s="318">
        <f>Données!X55</f>
        <v>1619</v>
      </c>
      <c r="F55" s="361">
        <f t="shared" si="0"/>
        <v>1.4771897810218979</v>
      </c>
      <c r="G55" s="336">
        <f t="shared" si="1"/>
        <v>856.07248196633714</v>
      </c>
      <c r="H55" s="344">
        <f t="shared" si="7"/>
        <v>762.92751803366286</v>
      </c>
      <c r="I55" s="362">
        <f t="shared" si="8"/>
        <v>-81122</v>
      </c>
      <c r="J55" s="357"/>
      <c r="K55" s="363">
        <f>Données!Y55</f>
        <v>108</v>
      </c>
      <c r="L55" s="324">
        <f>Données!Z55</f>
        <v>0.122</v>
      </c>
      <c r="M55" s="336">
        <f t="shared" si="2"/>
        <v>71.347675568743824</v>
      </c>
      <c r="N55" s="362">
        <f t="shared" si="3"/>
        <v>-7706</v>
      </c>
      <c r="O55" s="357"/>
      <c r="P55" s="318">
        <f>Données!AA55</f>
        <v>123</v>
      </c>
      <c r="Q55" s="359">
        <f>Données!AB55</f>
        <v>105</v>
      </c>
      <c r="R55" s="302">
        <f t="shared" si="4"/>
        <v>138.75</v>
      </c>
      <c r="S55" s="364">
        <f t="shared" si="5"/>
        <v>0.12659671532846714</v>
      </c>
      <c r="T55" s="344">
        <f t="shared" si="6"/>
        <v>149.51970299702361</v>
      </c>
      <c r="U55" s="344">
        <f t="shared" si="9"/>
        <v>0</v>
      </c>
      <c r="V55" s="362">
        <f t="shared" si="10"/>
        <v>0</v>
      </c>
      <c r="W55" s="436"/>
      <c r="X55" s="302">
        <f t="shared" si="11"/>
        <v>0</v>
      </c>
      <c r="Y55" s="322">
        <f t="shared" si="12"/>
        <v>0</v>
      </c>
    </row>
    <row r="56" spans="1:25" x14ac:dyDescent="0.25">
      <c r="A56" s="148">
        <f>Données!A56</f>
        <v>5487</v>
      </c>
      <c r="B56" s="156" t="str">
        <f>Données!B56</f>
        <v>Lussery-Villars</v>
      </c>
      <c r="C56" s="321">
        <f>Données!C56</f>
        <v>468</v>
      </c>
      <c r="D56" s="336"/>
      <c r="E56" s="318">
        <f>Données!X56</f>
        <v>367</v>
      </c>
      <c r="F56" s="361">
        <f t="shared" si="0"/>
        <v>0.78418803418803418</v>
      </c>
      <c r="G56" s="336">
        <f t="shared" si="1"/>
        <v>365.54919850387387</v>
      </c>
      <c r="H56" s="344">
        <f t="shared" si="7"/>
        <v>1.4508014961261324</v>
      </c>
      <c r="I56" s="362">
        <f t="shared" si="8"/>
        <v>-154</v>
      </c>
      <c r="J56" s="357"/>
      <c r="K56" s="363">
        <f>Données!Y56</f>
        <v>0</v>
      </c>
      <c r="L56" s="324">
        <f>Données!Z56</f>
        <v>2.3E-2</v>
      </c>
      <c r="M56" s="336">
        <f t="shared" si="2"/>
        <v>13.450791295746786</v>
      </c>
      <c r="N56" s="362">
        <f t="shared" si="3"/>
        <v>0</v>
      </c>
      <c r="O56" s="357"/>
      <c r="P56" s="318">
        <f>Données!AA56</f>
        <v>50</v>
      </c>
      <c r="Q56" s="359">
        <f>Données!AB56</f>
        <v>47</v>
      </c>
      <c r="R56" s="302">
        <f t="shared" si="4"/>
        <v>57.05</v>
      </c>
      <c r="S56" s="364">
        <f t="shared" si="5"/>
        <v>0.1219017094017094</v>
      </c>
      <c r="T56" s="344">
        <f t="shared" si="6"/>
        <v>63.846004564422493</v>
      </c>
      <c r="U56" s="344">
        <f t="shared" si="9"/>
        <v>0</v>
      </c>
      <c r="V56" s="362">
        <f t="shared" si="10"/>
        <v>0</v>
      </c>
      <c r="W56" s="436"/>
      <c r="X56" s="302">
        <f t="shared" si="11"/>
        <v>0</v>
      </c>
      <c r="Y56" s="322">
        <f t="shared" si="12"/>
        <v>0</v>
      </c>
    </row>
    <row r="57" spans="1:25" x14ac:dyDescent="0.25">
      <c r="A57" s="148">
        <f>Données!A57</f>
        <v>5488</v>
      </c>
      <c r="B57" s="156" t="str">
        <f>Données!B57</f>
        <v>Mauraz</v>
      </c>
      <c r="C57" s="321">
        <f>Données!C57</f>
        <v>67</v>
      </c>
      <c r="D57" s="336"/>
      <c r="E57" s="318">
        <f>Données!X57</f>
        <v>46</v>
      </c>
      <c r="F57" s="361">
        <f t="shared" si="0"/>
        <v>0.68656716417910446</v>
      </c>
      <c r="G57" s="336">
        <f t="shared" si="1"/>
        <v>52.332898076409293</v>
      </c>
      <c r="H57" s="344">
        <f t="shared" si="7"/>
        <v>0</v>
      </c>
      <c r="I57" s="362">
        <f t="shared" si="8"/>
        <v>0</v>
      </c>
      <c r="J57" s="357"/>
      <c r="K57" s="363">
        <f>Données!Y57</f>
        <v>0</v>
      </c>
      <c r="L57" s="324">
        <f>Données!Z57</f>
        <v>7.9000000000000001E-2</v>
      </c>
      <c r="M57" s="336">
        <f t="shared" si="2"/>
        <v>46.200544015825919</v>
      </c>
      <c r="N57" s="362">
        <f t="shared" si="3"/>
        <v>0</v>
      </c>
      <c r="O57" s="357"/>
      <c r="P57" s="318">
        <f>Données!AA57</f>
        <v>7</v>
      </c>
      <c r="Q57" s="359">
        <f>Données!AB57</f>
        <v>7</v>
      </c>
      <c r="R57" s="302">
        <f t="shared" si="4"/>
        <v>8.0500000000000007</v>
      </c>
      <c r="S57" s="364">
        <f t="shared" si="5"/>
        <v>0.12014925373134329</v>
      </c>
      <c r="T57" s="344">
        <f t="shared" si="6"/>
        <v>9.1403468072998013</v>
      </c>
      <c r="U57" s="344">
        <f t="shared" si="9"/>
        <v>0</v>
      </c>
      <c r="V57" s="362">
        <f t="shared" si="10"/>
        <v>0</v>
      </c>
      <c r="W57" s="436"/>
      <c r="X57" s="302">
        <f t="shared" si="11"/>
        <v>0</v>
      </c>
      <c r="Y57" s="322">
        <f t="shared" si="12"/>
        <v>0</v>
      </c>
    </row>
    <row r="58" spans="1:25" x14ac:dyDescent="0.25">
      <c r="A58" s="148">
        <f>Données!A58</f>
        <v>5489</v>
      </c>
      <c r="B58" s="156" t="str">
        <f>Données!B58</f>
        <v>Mex</v>
      </c>
      <c r="C58" s="321">
        <f>Données!C58</f>
        <v>809</v>
      </c>
      <c r="D58" s="336"/>
      <c r="E58" s="318">
        <f>Données!X58</f>
        <v>290</v>
      </c>
      <c r="F58" s="361">
        <f t="shared" si="0"/>
        <v>0.35846724351050679</v>
      </c>
      <c r="G58" s="336">
        <f t="shared" si="1"/>
        <v>631.90021707186747</v>
      </c>
      <c r="H58" s="344">
        <f t="shared" si="7"/>
        <v>0</v>
      </c>
      <c r="I58" s="362">
        <f t="shared" si="8"/>
        <v>0</v>
      </c>
      <c r="J58" s="357"/>
      <c r="K58" s="363">
        <f>Données!Y58</f>
        <v>0</v>
      </c>
      <c r="L58" s="324">
        <f>Données!Z58</f>
        <v>6.5000000000000002E-2</v>
      </c>
      <c r="M58" s="336">
        <f t="shared" si="2"/>
        <v>38.013105835806137</v>
      </c>
      <c r="N58" s="362">
        <f t="shared" si="3"/>
        <v>0</v>
      </c>
      <c r="O58" s="357"/>
      <c r="P58" s="318">
        <f>Données!AA58</f>
        <v>83</v>
      </c>
      <c r="Q58" s="359">
        <f>Données!AB58</f>
        <v>58</v>
      </c>
      <c r="R58" s="302">
        <f t="shared" si="4"/>
        <v>91.7</v>
      </c>
      <c r="S58" s="364">
        <f t="shared" si="5"/>
        <v>0.11334981458590854</v>
      </c>
      <c r="T58" s="344">
        <f t="shared" si="6"/>
        <v>110.3662771209782</v>
      </c>
      <c r="U58" s="344">
        <f t="shared" si="9"/>
        <v>0</v>
      </c>
      <c r="V58" s="362">
        <f t="shared" si="10"/>
        <v>0</v>
      </c>
      <c r="W58" s="436"/>
      <c r="X58" s="302">
        <f t="shared" si="11"/>
        <v>0</v>
      </c>
      <c r="Y58" s="322">
        <f t="shared" si="12"/>
        <v>0</v>
      </c>
    </row>
    <row r="59" spans="1:25" x14ac:dyDescent="0.25">
      <c r="A59" s="148">
        <f>Données!A59</f>
        <v>5490</v>
      </c>
      <c r="B59" s="156" t="str">
        <f>Données!B59</f>
        <v>Moiry</v>
      </c>
      <c r="C59" s="321">
        <f>Données!C59</f>
        <v>299</v>
      </c>
      <c r="D59" s="336"/>
      <c r="E59" s="318">
        <f>Données!X59</f>
        <v>667</v>
      </c>
      <c r="F59" s="361">
        <f t="shared" si="0"/>
        <v>2.2307692307692308</v>
      </c>
      <c r="G59" s="336">
        <f t="shared" si="1"/>
        <v>233.54532126636386</v>
      </c>
      <c r="H59" s="344">
        <f t="shared" si="7"/>
        <v>433.45467873363611</v>
      </c>
      <c r="I59" s="362">
        <f t="shared" si="8"/>
        <v>-46089</v>
      </c>
      <c r="J59" s="357"/>
      <c r="K59" s="363">
        <f>Données!Y59</f>
        <v>0</v>
      </c>
      <c r="L59" s="324">
        <f>Données!Z59</f>
        <v>0.02</v>
      </c>
      <c r="M59" s="336">
        <f t="shared" si="2"/>
        <v>11.696340257171119</v>
      </c>
      <c r="N59" s="362">
        <f t="shared" si="3"/>
        <v>0</v>
      </c>
      <c r="O59" s="357"/>
      <c r="P59" s="318">
        <f>Données!AA59</f>
        <v>45</v>
      </c>
      <c r="Q59" s="359">
        <f>Données!AB59</f>
        <v>30</v>
      </c>
      <c r="R59" s="302">
        <f t="shared" si="4"/>
        <v>49.5</v>
      </c>
      <c r="S59" s="364">
        <f t="shared" si="5"/>
        <v>0.16555183946488294</v>
      </c>
      <c r="T59" s="344">
        <f t="shared" si="6"/>
        <v>40.790502916158815</v>
      </c>
      <c r="U59" s="344">
        <f t="shared" si="9"/>
        <v>8.7094970838411854</v>
      </c>
      <c r="V59" s="362">
        <f t="shared" si="10"/>
        <v>-37043</v>
      </c>
      <c r="W59" s="436"/>
      <c r="X59" s="302">
        <f t="shared" si="11"/>
        <v>-19139.465875370919</v>
      </c>
      <c r="Y59" s="322">
        <f t="shared" si="12"/>
        <v>-17903.534124629081</v>
      </c>
    </row>
    <row r="60" spans="1:25" x14ac:dyDescent="0.25">
      <c r="A60" s="148">
        <f>Données!A60</f>
        <v>5491</v>
      </c>
      <c r="B60" s="156" t="str">
        <f>Données!B60</f>
        <v>Mont-la-Ville</v>
      </c>
      <c r="C60" s="321">
        <f>Données!C60</f>
        <v>495</v>
      </c>
      <c r="D60" s="336"/>
      <c r="E60" s="318">
        <f>Données!X60</f>
        <v>1978</v>
      </c>
      <c r="F60" s="361">
        <f t="shared" si="0"/>
        <v>3.9959595959595959</v>
      </c>
      <c r="G60" s="336">
        <f t="shared" si="1"/>
        <v>386.63857534063584</v>
      </c>
      <c r="H60" s="344">
        <f t="shared" si="7"/>
        <v>1591.3614246593643</v>
      </c>
      <c r="I60" s="362">
        <f t="shared" si="8"/>
        <v>-169210</v>
      </c>
      <c r="J60" s="357"/>
      <c r="K60" s="363">
        <f>Données!Y60</f>
        <v>495</v>
      </c>
      <c r="L60" s="324">
        <f>Données!Z60</f>
        <v>0.14899999999999999</v>
      </c>
      <c r="M60" s="336">
        <f t="shared" si="2"/>
        <v>87.137734915924824</v>
      </c>
      <c r="N60" s="362">
        <f t="shared" si="3"/>
        <v>-43133</v>
      </c>
      <c r="O60" s="357"/>
      <c r="P60" s="318">
        <f>Données!AA60</f>
        <v>59</v>
      </c>
      <c r="Q60" s="359">
        <f>Données!AB60</f>
        <v>43</v>
      </c>
      <c r="R60" s="302">
        <f t="shared" si="4"/>
        <v>65.45</v>
      </c>
      <c r="S60" s="364">
        <f t="shared" si="5"/>
        <v>0.13222222222222224</v>
      </c>
      <c r="T60" s="344">
        <f t="shared" si="6"/>
        <v>67.529427904677632</v>
      </c>
      <c r="U60" s="344">
        <f t="shared" si="9"/>
        <v>0</v>
      </c>
      <c r="V60" s="362">
        <f t="shared" si="10"/>
        <v>0</v>
      </c>
      <c r="W60" s="436"/>
      <c r="X60" s="302">
        <f t="shared" si="11"/>
        <v>0</v>
      </c>
      <c r="Y60" s="322">
        <f t="shared" si="12"/>
        <v>0</v>
      </c>
    </row>
    <row r="61" spans="1:25" x14ac:dyDescent="0.25">
      <c r="A61" s="148">
        <f>Données!A61</f>
        <v>5492</v>
      </c>
      <c r="B61" s="156" t="str">
        <f>Données!B61</f>
        <v>Montricher</v>
      </c>
      <c r="C61" s="321">
        <f>Données!C61</f>
        <v>943</v>
      </c>
      <c r="D61" s="336"/>
      <c r="E61" s="318">
        <f>Données!X61</f>
        <v>2579</v>
      </c>
      <c r="F61" s="361">
        <f t="shared" si="0"/>
        <v>2.7348886532343584</v>
      </c>
      <c r="G61" s="336">
        <f t="shared" si="1"/>
        <v>736.566013224686</v>
      </c>
      <c r="H61" s="344">
        <f t="shared" si="7"/>
        <v>1842.433986775314</v>
      </c>
      <c r="I61" s="362">
        <f t="shared" si="8"/>
        <v>-195907</v>
      </c>
      <c r="J61" s="357"/>
      <c r="K61" s="363">
        <f>Données!Y61</f>
        <v>718</v>
      </c>
      <c r="L61" s="324">
        <f>Données!Z61</f>
        <v>0.27700000000000002</v>
      </c>
      <c r="M61" s="336">
        <f t="shared" si="2"/>
        <v>161.99431256182001</v>
      </c>
      <c r="N61" s="362">
        <f t="shared" si="3"/>
        <v>-116312</v>
      </c>
      <c r="O61" s="357"/>
      <c r="P61" s="318">
        <f>Données!AA61</f>
        <v>91</v>
      </c>
      <c r="Q61" s="359">
        <f>Données!AB61</f>
        <v>53</v>
      </c>
      <c r="R61" s="302">
        <f t="shared" si="4"/>
        <v>98.95</v>
      </c>
      <c r="S61" s="364">
        <f t="shared" si="5"/>
        <v>0.10493107104984094</v>
      </c>
      <c r="T61" s="344">
        <f t="shared" si="6"/>
        <v>128.64697073557781</v>
      </c>
      <c r="U61" s="344">
        <f t="shared" si="9"/>
        <v>0</v>
      </c>
      <c r="V61" s="362">
        <f t="shared" si="10"/>
        <v>0</v>
      </c>
      <c r="W61" s="436"/>
      <c r="X61" s="302">
        <f t="shared" si="11"/>
        <v>0</v>
      </c>
      <c r="Y61" s="322">
        <f t="shared" si="12"/>
        <v>0</v>
      </c>
    </row>
    <row r="62" spans="1:25" x14ac:dyDescent="0.25">
      <c r="A62" s="148">
        <f>Données!A62</f>
        <v>5493</v>
      </c>
      <c r="B62" s="156" t="str">
        <f>Données!B62</f>
        <v>Orny</v>
      </c>
      <c r="C62" s="321">
        <f>Données!C62</f>
        <v>497</v>
      </c>
      <c r="D62" s="336"/>
      <c r="E62" s="318">
        <f>Données!X62</f>
        <v>545</v>
      </c>
      <c r="F62" s="361">
        <f t="shared" si="0"/>
        <v>1.096579476861167</v>
      </c>
      <c r="G62" s="336">
        <f t="shared" si="1"/>
        <v>388.20075140261821</v>
      </c>
      <c r="H62" s="344">
        <f t="shared" si="7"/>
        <v>156.79924859738179</v>
      </c>
      <c r="I62" s="362">
        <f t="shared" si="8"/>
        <v>-16673</v>
      </c>
      <c r="J62" s="357"/>
      <c r="K62" s="363">
        <f>Données!Y62</f>
        <v>0</v>
      </c>
      <c r="L62" s="324">
        <f>Données!Z62</f>
        <v>8.1000000000000003E-2</v>
      </c>
      <c r="M62" s="336">
        <f t="shared" si="2"/>
        <v>47.370178041543035</v>
      </c>
      <c r="N62" s="362">
        <f t="shared" si="3"/>
        <v>0</v>
      </c>
      <c r="O62" s="357"/>
      <c r="P62" s="318">
        <f>Données!AA62</f>
        <v>54</v>
      </c>
      <c r="Q62" s="359">
        <f>Données!AB62</f>
        <v>1</v>
      </c>
      <c r="R62" s="302">
        <f t="shared" si="4"/>
        <v>54.15</v>
      </c>
      <c r="S62" s="364">
        <f t="shared" si="5"/>
        <v>0.10895372233400402</v>
      </c>
      <c r="T62" s="344">
        <f t="shared" si="6"/>
        <v>67.802274078029868</v>
      </c>
      <c r="U62" s="344">
        <f t="shared" si="9"/>
        <v>0</v>
      </c>
      <c r="V62" s="362">
        <f t="shared" si="10"/>
        <v>0</v>
      </c>
      <c r="W62" s="436"/>
      <c r="X62" s="302">
        <f t="shared" si="11"/>
        <v>0</v>
      </c>
      <c r="Y62" s="322">
        <f t="shared" si="12"/>
        <v>0</v>
      </c>
    </row>
    <row r="63" spans="1:25" x14ac:dyDescent="0.25">
      <c r="A63" s="148">
        <f>Données!A63</f>
        <v>5495</v>
      </c>
      <c r="B63" s="156" t="str">
        <f>Données!B63</f>
        <v>Penthalaz</v>
      </c>
      <c r="C63" s="321">
        <f>Données!C63</f>
        <v>3177</v>
      </c>
      <c r="D63" s="336"/>
      <c r="E63" s="318">
        <f>Données!X63</f>
        <v>380</v>
      </c>
      <c r="F63" s="361">
        <f t="shared" si="0"/>
        <v>0.11960969468051622</v>
      </c>
      <c r="G63" s="336">
        <f t="shared" si="1"/>
        <v>2481.5166744589901</v>
      </c>
      <c r="H63" s="344">
        <f t="shared" si="7"/>
        <v>0</v>
      </c>
      <c r="I63" s="362">
        <f t="shared" si="8"/>
        <v>0</v>
      </c>
      <c r="J63" s="357"/>
      <c r="K63" s="363">
        <f>Données!Y63</f>
        <v>0</v>
      </c>
      <c r="L63" s="324">
        <f>Données!Z63</f>
        <v>9.0999999999999998E-2</v>
      </c>
      <c r="M63" s="336">
        <f t="shared" si="2"/>
        <v>53.218348170128586</v>
      </c>
      <c r="N63" s="362">
        <f t="shared" si="3"/>
        <v>0</v>
      </c>
      <c r="O63" s="357"/>
      <c r="P63" s="318">
        <f>Données!AA63</f>
        <v>425</v>
      </c>
      <c r="Q63" s="359">
        <f>Données!AB63</f>
        <v>164</v>
      </c>
      <c r="R63" s="302">
        <f t="shared" si="4"/>
        <v>449.6</v>
      </c>
      <c r="S63" s="364">
        <f t="shared" si="5"/>
        <v>0.14151715454831604</v>
      </c>
      <c r="T63" s="344">
        <f t="shared" si="6"/>
        <v>433.41614637002192</v>
      </c>
      <c r="U63" s="344">
        <f t="shared" si="9"/>
        <v>16.183853629978103</v>
      </c>
      <c r="V63" s="362">
        <f t="shared" si="10"/>
        <v>-68833</v>
      </c>
      <c r="W63" s="436"/>
      <c r="X63" s="302">
        <f t="shared" si="11"/>
        <v>-68833</v>
      </c>
      <c r="Y63" s="322">
        <f t="shared" si="12"/>
        <v>0</v>
      </c>
    </row>
    <row r="64" spans="1:25" x14ac:dyDescent="0.25">
      <c r="A64" s="148">
        <f>Données!A64</f>
        <v>5496</v>
      </c>
      <c r="B64" s="156" t="str">
        <f>Données!B64</f>
        <v>Penthaz</v>
      </c>
      <c r="C64" s="321">
        <f>Données!C64</f>
        <v>1946</v>
      </c>
      <c r="D64" s="336"/>
      <c r="E64" s="318">
        <f>Données!X64</f>
        <v>371</v>
      </c>
      <c r="F64" s="361">
        <f t="shared" si="0"/>
        <v>0.1906474820143885</v>
      </c>
      <c r="G64" s="336">
        <f t="shared" si="1"/>
        <v>1519.997308308843</v>
      </c>
      <c r="H64" s="344">
        <f t="shared" si="7"/>
        <v>0</v>
      </c>
      <c r="I64" s="362">
        <f t="shared" si="8"/>
        <v>0</v>
      </c>
      <c r="J64" s="357"/>
      <c r="K64" s="363">
        <f>Données!Y64</f>
        <v>0</v>
      </c>
      <c r="L64" s="324">
        <f>Données!Z64</f>
        <v>0.06</v>
      </c>
      <c r="M64" s="336">
        <f t="shared" si="2"/>
        <v>35.089020771513354</v>
      </c>
      <c r="N64" s="362">
        <f t="shared" si="3"/>
        <v>0</v>
      </c>
      <c r="O64" s="357"/>
      <c r="P64" s="318">
        <f>Données!AA64</f>
        <v>291</v>
      </c>
      <c r="Q64" s="359">
        <f>Données!AB64</f>
        <v>155</v>
      </c>
      <c r="R64" s="302">
        <f t="shared" si="4"/>
        <v>314.25</v>
      </c>
      <c r="S64" s="364">
        <f t="shared" si="5"/>
        <v>0.16148509763617677</v>
      </c>
      <c r="T64" s="344">
        <f t="shared" si="6"/>
        <v>265.47932667172262</v>
      </c>
      <c r="U64" s="344">
        <f t="shared" si="9"/>
        <v>48.770673328277383</v>
      </c>
      <c r="V64" s="362">
        <f t="shared" si="10"/>
        <v>-207432</v>
      </c>
      <c r="W64" s="436"/>
      <c r="X64" s="302">
        <f t="shared" si="11"/>
        <v>-98887.240356083086</v>
      </c>
      <c r="Y64" s="322">
        <f t="shared" si="12"/>
        <v>-108544.75964391691</v>
      </c>
    </row>
    <row r="65" spans="1:25" x14ac:dyDescent="0.25">
      <c r="A65" s="148">
        <f>Données!A65</f>
        <v>5497</v>
      </c>
      <c r="B65" s="156" t="str">
        <f>Données!B65</f>
        <v>Pompaples</v>
      </c>
      <c r="C65" s="321">
        <f>Données!C65</f>
        <v>930</v>
      </c>
      <c r="D65" s="336"/>
      <c r="E65" s="318">
        <f>Données!X65</f>
        <v>440</v>
      </c>
      <c r="F65" s="361">
        <f t="shared" si="0"/>
        <v>0.4731182795698925</v>
      </c>
      <c r="G65" s="336">
        <f t="shared" si="1"/>
        <v>726.41186882180068</v>
      </c>
      <c r="H65" s="344">
        <f t="shared" si="7"/>
        <v>0</v>
      </c>
      <c r="I65" s="362">
        <f t="shared" si="8"/>
        <v>0</v>
      </c>
      <c r="J65" s="357"/>
      <c r="K65" s="363">
        <f>Données!Y65</f>
        <v>0</v>
      </c>
      <c r="L65" s="324">
        <f>Données!Z65</f>
        <v>8.1000000000000003E-2</v>
      </c>
      <c r="M65" s="336">
        <f t="shared" si="2"/>
        <v>47.370178041543035</v>
      </c>
      <c r="N65" s="362">
        <f t="shared" si="3"/>
        <v>0</v>
      </c>
      <c r="O65" s="357"/>
      <c r="P65" s="318">
        <f>Données!AA65</f>
        <v>103</v>
      </c>
      <c r="Q65" s="359">
        <f>Données!AB65</f>
        <v>11</v>
      </c>
      <c r="R65" s="302">
        <f t="shared" si="4"/>
        <v>104.65</v>
      </c>
      <c r="S65" s="364">
        <f t="shared" si="5"/>
        <v>0.11252688172043011</v>
      </c>
      <c r="T65" s="344">
        <f t="shared" si="6"/>
        <v>126.8734706087883</v>
      </c>
      <c r="U65" s="344">
        <f t="shared" si="9"/>
        <v>0</v>
      </c>
      <c r="V65" s="362">
        <f t="shared" si="10"/>
        <v>0</v>
      </c>
      <c r="W65" s="436"/>
      <c r="X65" s="302">
        <f t="shared" si="11"/>
        <v>0</v>
      </c>
      <c r="Y65" s="322">
        <f t="shared" si="12"/>
        <v>0</v>
      </c>
    </row>
    <row r="66" spans="1:25" x14ac:dyDescent="0.25">
      <c r="A66" s="148">
        <f>Données!A66</f>
        <v>5498</v>
      </c>
      <c r="B66" s="156" t="str">
        <f>Données!B66</f>
        <v>La Sarraz</v>
      </c>
      <c r="C66" s="321">
        <f>Données!C66</f>
        <v>2618</v>
      </c>
      <c r="D66" s="336"/>
      <c r="E66" s="318">
        <f>Données!X66</f>
        <v>763</v>
      </c>
      <c r="F66" s="361">
        <f t="shared" si="0"/>
        <v>0.29144385026737968</v>
      </c>
      <c r="G66" s="336">
        <f t="shared" si="1"/>
        <v>2044.8884651349185</v>
      </c>
      <c r="H66" s="344">
        <f t="shared" si="7"/>
        <v>0</v>
      </c>
      <c r="I66" s="362">
        <f t="shared" si="8"/>
        <v>0</v>
      </c>
      <c r="J66" s="357"/>
      <c r="K66" s="363">
        <f>Données!Y66</f>
        <v>0</v>
      </c>
      <c r="L66" s="324">
        <f>Données!Z66</f>
        <v>0.1</v>
      </c>
      <c r="M66" s="336">
        <f t="shared" si="2"/>
        <v>58.481701285855593</v>
      </c>
      <c r="N66" s="362">
        <f t="shared" si="3"/>
        <v>0</v>
      </c>
      <c r="O66" s="357"/>
      <c r="P66" s="318">
        <f>Données!AA66</f>
        <v>321</v>
      </c>
      <c r="Q66" s="359">
        <f>Données!AB66</f>
        <v>29</v>
      </c>
      <c r="R66" s="302">
        <f t="shared" si="4"/>
        <v>325.35000000000002</v>
      </c>
      <c r="S66" s="364">
        <f t="shared" si="5"/>
        <v>0.1242742551566081</v>
      </c>
      <c r="T66" s="344">
        <f t="shared" si="6"/>
        <v>357.15564091807283</v>
      </c>
      <c r="U66" s="344">
        <f t="shared" si="9"/>
        <v>0</v>
      </c>
      <c r="V66" s="362">
        <f t="shared" si="10"/>
        <v>0</v>
      </c>
      <c r="W66" s="436"/>
      <c r="X66" s="302">
        <f t="shared" si="11"/>
        <v>0</v>
      </c>
      <c r="Y66" s="322">
        <f t="shared" si="12"/>
        <v>0</v>
      </c>
    </row>
    <row r="67" spans="1:25" x14ac:dyDescent="0.25">
      <c r="A67" s="148">
        <f>Données!A67</f>
        <v>5499</v>
      </c>
      <c r="B67" s="156" t="str">
        <f>Données!B67</f>
        <v>Senarclens</v>
      </c>
      <c r="C67" s="321">
        <f>Données!C67</f>
        <v>480</v>
      </c>
      <c r="D67" s="336"/>
      <c r="E67" s="318">
        <f>Données!X67</f>
        <v>391</v>
      </c>
      <c r="F67" s="361">
        <f t="shared" si="0"/>
        <v>0.81458333333333333</v>
      </c>
      <c r="G67" s="336">
        <f t="shared" si="1"/>
        <v>374.92225487576809</v>
      </c>
      <c r="H67" s="344">
        <f t="shared" si="7"/>
        <v>16.07774512423191</v>
      </c>
      <c r="I67" s="362">
        <f t="shared" si="8"/>
        <v>-1710</v>
      </c>
      <c r="J67" s="357"/>
      <c r="K67" s="363">
        <f>Données!Y67</f>
        <v>0</v>
      </c>
      <c r="L67" s="324">
        <f>Données!Z67</f>
        <v>6.0000000000000001E-3</v>
      </c>
      <c r="M67" s="336">
        <f t="shared" si="2"/>
        <v>3.5089020771513355</v>
      </c>
      <c r="N67" s="362">
        <f t="shared" si="3"/>
        <v>0</v>
      </c>
      <c r="O67" s="357"/>
      <c r="P67" s="318">
        <f>Données!AA67</f>
        <v>68</v>
      </c>
      <c r="Q67" s="359">
        <f>Données!AB67</f>
        <v>25</v>
      </c>
      <c r="R67" s="302">
        <f t="shared" si="4"/>
        <v>71.75</v>
      </c>
      <c r="S67" s="364">
        <f t="shared" si="5"/>
        <v>0.14947916666666666</v>
      </c>
      <c r="T67" s="344">
        <f t="shared" si="6"/>
        <v>65.483081604535897</v>
      </c>
      <c r="U67" s="344">
        <f t="shared" si="9"/>
        <v>6.2669183954641028</v>
      </c>
      <c r="V67" s="362">
        <f t="shared" si="10"/>
        <v>-26655</v>
      </c>
      <c r="W67" s="436"/>
      <c r="X67" s="302">
        <f t="shared" si="11"/>
        <v>-15949.554896142432</v>
      </c>
      <c r="Y67" s="322">
        <f t="shared" si="12"/>
        <v>-10705.445103857568</v>
      </c>
    </row>
    <row r="68" spans="1:25" x14ac:dyDescent="0.25">
      <c r="A68" s="148">
        <f>Données!A68</f>
        <v>5501</v>
      </c>
      <c r="B68" s="156" t="str">
        <f>Données!B68</f>
        <v>Sullens</v>
      </c>
      <c r="C68" s="321">
        <f>Données!C68</f>
        <v>1225</v>
      </c>
      <c r="D68" s="336"/>
      <c r="E68" s="318">
        <f>Données!X68</f>
        <v>390</v>
      </c>
      <c r="F68" s="361">
        <f t="shared" si="0"/>
        <v>0.3183673469387755</v>
      </c>
      <c r="G68" s="336">
        <f t="shared" si="1"/>
        <v>956.83283796419983</v>
      </c>
      <c r="H68" s="344">
        <f t="shared" si="7"/>
        <v>0</v>
      </c>
      <c r="I68" s="362">
        <f t="shared" si="8"/>
        <v>0</v>
      </c>
      <c r="J68" s="357"/>
      <c r="K68" s="363">
        <f>Données!Y68</f>
        <v>0</v>
      </c>
      <c r="L68" s="324">
        <f>Données!Z68</f>
        <v>1.4E-2</v>
      </c>
      <c r="M68" s="336">
        <f t="shared" si="2"/>
        <v>8.1874381800197824</v>
      </c>
      <c r="N68" s="362">
        <f t="shared" si="3"/>
        <v>0</v>
      </c>
      <c r="O68" s="357"/>
      <c r="P68" s="318">
        <f>Données!AA68</f>
        <v>167</v>
      </c>
      <c r="Q68" s="359">
        <f>Données!AB68</f>
        <v>91</v>
      </c>
      <c r="R68" s="302">
        <f t="shared" si="4"/>
        <v>180.65</v>
      </c>
      <c r="S68" s="364">
        <f t="shared" si="5"/>
        <v>0.14746938775510204</v>
      </c>
      <c r="T68" s="344">
        <f t="shared" si="6"/>
        <v>167.11828117824263</v>
      </c>
      <c r="U68" s="344">
        <f t="shared" si="9"/>
        <v>13.53171882175738</v>
      </c>
      <c r="V68" s="362">
        <f t="shared" si="10"/>
        <v>-57553</v>
      </c>
      <c r="W68" s="436"/>
      <c r="X68" s="302">
        <f t="shared" si="11"/>
        <v>-57553</v>
      </c>
      <c r="Y68" s="322">
        <f t="shared" si="12"/>
        <v>0</v>
      </c>
    </row>
    <row r="69" spans="1:25" x14ac:dyDescent="0.25">
      <c r="A69" s="148">
        <f>Données!A69</f>
        <v>5503</v>
      </c>
      <c r="B69" s="156" t="str">
        <f>Données!B69</f>
        <v>Vufflens-la-Ville</v>
      </c>
      <c r="C69" s="321">
        <f>Données!C69</f>
        <v>1342</v>
      </c>
      <c r="D69" s="336"/>
      <c r="E69" s="318">
        <f>Données!X69</f>
        <v>535</v>
      </c>
      <c r="F69" s="361">
        <f t="shared" si="0"/>
        <v>0.39865871833084948</v>
      </c>
      <c r="G69" s="336">
        <f t="shared" si="1"/>
        <v>1048.2201375901682</v>
      </c>
      <c r="H69" s="344">
        <f t="shared" si="7"/>
        <v>0</v>
      </c>
      <c r="I69" s="362">
        <f t="shared" si="8"/>
        <v>0</v>
      </c>
      <c r="J69" s="357"/>
      <c r="K69" s="363">
        <f>Données!Y69</f>
        <v>0</v>
      </c>
      <c r="L69" s="324">
        <f>Données!Z69</f>
        <v>6.4000000000000001E-2</v>
      </c>
      <c r="M69" s="336">
        <f t="shared" si="2"/>
        <v>37.428288822947579</v>
      </c>
      <c r="N69" s="362">
        <f t="shared" si="3"/>
        <v>0</v>
      </c>
      <c r="O69" s="357"/>
      <c r="P69" s="318">
        <f>Données!AA69</f>
        <v>156</v>
      </c>
      <c r="Q69" s="359">
        <f>Données!AB69</f>
        <v>79</v>
      </c>
      <c r="R69" s="302">
        <f t="shared" si="4"/>
        <v>167.85</v>
      </c>
      <c r="S69" s="364">
        <f t="shared" si="5"/>
        <v>0.12507451564828614</v>
      </c>
      <c r="T69" s="344">
        <f t="shared" si="6"/>
        <v>183.07978231934825</v>
      </c>
      <c r="U69" s="344">
        <f t="shared" si="9"/>
        <v>0</v>
      </c>
      <c r="V69" s="362">
        <f t="shared" si="10"/>
        <v>0</v>
      </c>
      <c r="W69" s="436"/>
      <c r="X69" s="302">
        <f t="shared" si="11"/>
        <v>0</v>
      </c>
      <c r="Y69" s="322">
        <f t="shared" si="12"/>
        <v>0</v>
      </c>
    </row>
    <row r="70" spans="1:25" x14ac:dyDescent="0.25">
      <c r="A70" s="148">
        <f>Données!A70</f>
        <v>5511</v>
      </c>
      <c r="B70" s="156" t="str">
        <f>Données!B70</f>
        <v>Assens</v>
      </c>
      <c r="C70" s="321">
        <f>Données!C70</f>
        <v>1711</v>
      </c>
      <c r="D70" s="336"/>
      <c r="E70" s="318">
        <f>Données!X70</f>
        <v>834</v>
      </c>
      <c r="F70" s="361">
        <f t="shared" si="0"/>
        <v>0.48743424897720633</v>
      </c>
      <c r="G70" s="336">
        <f t="shared" si="1"/>
        <v>1336.4416210259151</v>
      </c>
      <c r="H70" s="344">
        <f t="shared" si="7"/>
        <v>0</v>
      </c>
      <c r="I70" s="362">
        <f t="shared" si="8"/>
        <v>0</v>
      </c>
      <c r="J70" s="357"/>
      <c r="K70" s="363">
        <f>Données!Y70</f>
        <v>0</v>
      </c>
      <c r="L70" s="324">
        <f>Données!Z70</f>
        <v>0.02</v>
      </c>
      <c r="M70" s="336">
        <f t="shared" si="2"/>
        <v>11.696340257171119</v>
      </c>
      <c r="N70" s="362">
        <f t="shared" si="3"/>
        <v>0</v>
      </c>
      <c r="O70" s="357"/>
      <c r="P70" s="318">
        <f>Données!AA70</f>
        <v>221</v>
      </c>
      <c r="Q70" s="359">
        <f>Données!AB70</f>
        <v>125</v>
      </c>
      <c r="R70" s="302">
        <f t="shared" si="4"/>
        <v>239.75</v>
      </c>
      <c r="S70" s="364">
        <f t="shared" si="5"/>
        <v>0.14012273524254823</v>
      </c>
      <c r="T70" s="344">
        <f t="shared" si="6"/>
        <v>233.41990130283523</v>
      </c>
      <c r="U70" s="344">
        <f t="shared" si="9"/>
        <v>6.3300986971647717</v>
      </c>
      <c r="V70" s="362">
        <f t="shared" si="10"/>
        <v>-26923</v>
      </c>
      <c r="W70" s="436"/>
      <c r="X70" s="302">
        <f t="shared" si="11"/>
        <v>-26923</v>
      </c>
      <c r="Y70" s="322">
        <f t="shared" si="12"/>
        <v>0</v>
      </c>
    </row>
    <row r="71" spans="1:25" x14ac:dyDescent="0.25">
      <c r="A71" s="148">
        <f>Données!A71</f>
        <v>5512</v>
      </c>
      <c r="B71" s="156" t="str">
        <f>Données!B71</f>
        <v>Bercher</v>
      </c>
      <c r="C71" s="321">
        <f>Données!C71</f>
        <v>1344</v>
      </c>
      <c r="D71" s="336"/>
      <c r="E71" s="318">
        <f>Données!X71</f>
        <v>422</v>
      </c>
      <c r="F71" s="361">
        <f t="shared" si="0"/>
        <v>0.31398809523809523</v>
      </c>
      <c r="G71" s="336">
        <f t="shared" si="1"/>
        <v>1049.7823136521506</v>
      </c>
      <c r="H71" s="344">
        <f t="shared" si="7"/>
        <v>0</v>
      </c>
      <c r="I71" s="362">
        <f t="shared" si="8"/>
        <v>0</v>
      </c>
      <c r="J71" s="357"/>
      <c r="K71" s="363">
        <f>Données!Y71</f>
        <v>0</v>
      </c>
      <c r="L71" s="324">
        <f>Données!Z71</f>
        <v>0.121</v>
      </c>
      <c r="M71" s="336">
        <f t="shared" si="2"/>
        <v>70.762858555885259</v>
      </c>
      <c r="N71" s="362">
        <f t="shared" si="3"/>
        <v>0</v>
      </c>
      <c r="O71" s="357"/>
      <c r="P71" s="318">
        <f>Données!AA71</f>
        <v>172</v>
      </c>
      <c r="Q71" s="359">
        <f>Données!AB71</f>
        <v>4</v>
      </c>
      <c r="R71" s="302">
        <f t="shared" si="4"/>
        <v>172.6</v>
      </c>
      <c r="S71" s="364">
        <f t="shared" si="5"/>
        <v>0.12842261904761904</v>
      </c>
      <c r="T71" s="344">
        <f t="shared" si="6"/>
        <v>183.35262849270049</v>
      </c>
      <c r="U71" s="344">
        <f t="shared" si="9"/>
        <v>0</v>
      </c>
      <c r="V71" s="362">
        <f t="shared" si="10"/>
        <v>0</v>
      </c>
      <c r="W71" s="436"/>
      <c r="X71" s="302">
        <f t="shared" si="11"/>
        <v>0</v>
      </c>
      <c r="Y71" s="322">
        <f t="shared" si="12"/>
        <v>0</v>
      </c>
    </row>
    <row r="72" spans="1:25" x14ac:dyDescent="0.25">
      <c r="A72" s="148">
        <f>Données!A72</f>
        <v>5514</v>
      </c>
      <c r="B72" s="156" t="str">
        <f>Données!B72</f>
        <v>Bottens</v>
      </c>
      <c r="C72" s="321">
        <f>Données!C72</f>
        <v>1358</v>
      </c>
      <c r="D72" s="336"/>
      <c r="E72" s="318">
        <f>Données!X72</f>
        <v>691</v>
      </c>
      <c r="F72" s="361">
        <f t="shared" ref="F72:F135" si="13">E72/C72</f>
        <v>0.50883652430044179</v>
      </c>
      <c r="G72" s="336">
        <f t="shared" ref="G72:G135" si="14">C72*$I$4</f>
        <v>1060.7175460860271</v>
      </c>
      <c r="H72" s="344">
        <f t="shared" si="7"/>
        <v>0</v>
      </c>
      <c r="I72" s="362">
        <f t="shared" si="8"/>
        <v>0</v>
      </c>
      <c r="J72" s="357"/>
      <c r="K72" s="363">
        <f>Données!Y72</f>
        <v>965</v>
      </c>
      <c r="L72" s="324">
        <f>Données!Z72</f>
        <v>6.3E-2</v>
      </c>
      <c r="M72" s="336">
        <f t="shared" ref="M72:M135" si="15">L72*$N$5</f>
        <v>36.843471810089021</v>
      </c>
      <c r="N72" s="362">
        <f t="shared" ref="N72:N135" si="16">ROUND(-M72*K72,0)</f>
        <v>-35554</v>
      </c>
      <c r="O72" s="357"/>
      <c r="P72" s="318">
        <f>Données!AA72</f>
        <v>197</v>
      </c>
      <c r="Q72" s="359">
        <f>Données!AB72</f>
        <v>112</v>
      </c>
      <c r="R72" s="302">
        <f t="shared" ref="R72:R135" si="17">P72*$P$6+Q72*$Q$6</f>
        <v>213.8</v>
      </c>
      <c r="S72" s="364">
        <f t="shared" ref="S72:S135" si="18">R72/C72</f>
        <v>0.15743740795287187</v>
      </c>
      <c r="T72" s="344">
        <f t="shared" ref="T72:T135" si="19">$V$4*C72</f>
        <v>185.26255170616614</v>
      </c>
      <c r="U72" s="344">
        <f t="shared" si="9"/>
        <v>28.537448293833876</v>
      </c>
      <c r="V72" s="362">
        <f t="shared" si="10"/>
        <v>-121376</v>
      </c>
      <c r="W72" s="436"/>
      <c r="X72" s="302">
        <f t="shared" si="11"/>
        <v>-71454.005934718094</v>
      </c>
      <c r="Y72" s="322">
        <f t="shared" si="12"/>
        <v>-49921.994065281906</v>
      </c>
    </row>
    <row r="73" spans="1:25" x14ac:dyDescent="0.25">
      <c r="A73" s="148">
        <f>Données!A73</f>
        <v>5515</v>
      </c>
      <c r="B73" s="156" t="str">
        <f>Données!B73</f>
        <v>Bretigny-sur-Morrens</v>
      </c>
      <c r="C73" s="321">
        <f>Données!C73</f>
        <v>898</v>
      </c>
      <c r="D73" s="336"/>
      <c r="E73" s="318">
        <f>Données!X73</f>
        <v>283</v>
      </c>
      <c r="F73" s="361">
        <f t="shared" si="13"/>
        <v>0.31514476614699333</v>
      </c>
      <c r="G73" s="336">
        <f t="shared" si="14"/>
        <v>701.41705183008276</v>
      </c>
      <c r="H73" s="344">
        <f t="shared" ref="H73:H136" si="20">IF(E73&gt;G73,E73-G73,0)</f>
        <v>0</v>
      </c>
      <c r="I73" s="362">
        <f t="shared" ref="I73:I136" si="21">ROUND(-H73*$I$5,0)</f>
        <v>0</v>
      </c>
      <c r="J73" s="357"/>
      <c r="K73" s="363">
        <f>Données!Y73</f>
        <v>2</v>
      </c>
      <c r="L73" s="324">
        <f>Données!Z73</f>
        <v>9.0999999999999998E-2</v>
      </c>
      <c r="M73" s="336">
        <f t="shared" si="15"/>
        <v>53.218348170128586</v>
      </c>
      <c r="N73" s="362">
        <f t="shared" si="16"/>
        <v>-106</v>
      </c>
      <c r="O73" s="357"/>
      <c r="P73" s="318">
        <f>Données!AA73</f>
        <v>126</v>
      </c>
      <c r="Q73" s="359">
        <f>Données!AB73</f>
        <v>19</v>
      </c>
      <c r="R73" s="302">
        <f t="shared" si="17"/>
        <v>128.85</v>
      </c>
      <c r="S73" s="364">
        <f t="shared" si="18"/>
        <v>0.14348552338530066</v>
      </c>
      <c r="T73" s="344">
        <f t="shared" si="19"/>
        <v>122.50793183515256</v>
      </c>
      <c r="U73" s="344">
        <f t="shared" ref="U73:U136" si="22">IF(R73&gt;T73,R73-T73,0)</f>
        <v>6.3420681648474329</v>
      </c>
      <c r="V73" s="362">
        <f t="shared" ref="V73:V136" si="23">ROUND(-$V$5*U73,0)</f>
        <v>-26974</v>
      </c>
      <c r="W73" s="436"/>
      <c r="X73" s="302">
        <f t="shared" ref="X73:X136" si="24">IF(-Q73*$Q$6*$V$5&gt;V73,-Q73*$Q$6*$V$5,V73)</f>
        <v>-12121.661721068249</v>
      </c>
      <c r="Y73" s="322">
        <f t="shared" ref="Y73:Y136" si="25">IF(X73&gt;V73,V73-X73,0)</f>
        <v>-14852.338278931751</v>
      </c>
    </row>
    <row r="74" spans="1:25" x14ac:dyDescent="0.25">
      <c r="A74" s="148">
        <f>Données!A74</f>
        <v>5516</v>
      </c>
      <c r="B74" s="156" t="str">
        <f>Données!B74</f>
        <v>Cugy</v>
      </c>
      <c r="C74" s="321">
        <f>Données!C74</f>
        <v>2790</v>
      </c>
      <c r="D74" s="336"/>
      <c r="E74" s="318">
        <f>Données!X74</f>
        <v>291</v>
      </c>
      <c r="F74" s="361">
        <f t="shared" si="13"/>
        <v>0.1043010752688172</v>
      </c>
      <c r="G74" s="336">
        <f t="shared" si="14"/>
        <v>2179.2356064654018</v>
      </c>
      <c r="H74" s="344">
        <f t="shared" si="20"/>
        <v>0</v>
      </c>
      <c r="I74" s="362">
        <f t="shared" si="21"/>
        <v>0</v>
      </c>
      <c r="J74" s="357"/>
      <c r="K74" s="363">
        <f>Données!Y74</f>
        <v>26</v>
      </c>
      <c r="L74" s="324">
        <f>Données!Z74</f>
        <v>7.1999999999999995E-2</v>
      </c>
      <c r="M74" s="336">
        <f t="shared" si="15"/>
        <v>42.106824925816021</v>
      </c>
      <c r="N74" s="362">
        <f t="shared" si="16"/>
        <v>-1095</v>
      </c>
      <c r="O74" s="357"/>
      <c r="P74" s="318">
        <f>Données!AA74</f>
        <v>349</v>
      </c>
      <c r="Q74" s="359">
        <f>Données!AB74</f>
        <v>41</v>
      </c>
      <c r="R74" s="302">
        <f t="shared" si="17"/>
        <v>355.15</v>
      </c>
      <c r="S74" s="364">
        <f t="shared" si="18"/>
        <v>0.12729390681003583</v>
      </c>
      <c r="T74" s="344">
        <f t="shared" si="19"/>
        <v>380.62041182636489</v>
      </c>
      <c r="U74" s="344">
        <f t="shared" si="22"/>
        <v>0</v>
      </c>
      <c r="V74" s="362">
        <f t="shared" si="23"/>
        <v>0</v>
      </c>
      <c r="W74" s="436"/>
      <c r="X74" s="302">
        <f t="shared" si="24"/>
        <v>0</v>
      </c>
      <c r="Y74" s="322">
        <f t="shared" si="25"/>
        <v>0</v>
      </c>
    </row>
    <row r="75" spans="1:25" x14ac:dyDescent="0.25">
      <c r="A75" s="148">
        <f>Données!A75</f>
        <v>5518</v>
      </c>
      <c r="B75" s="156" t="str">
        <f>Données!B75</f>
        <v>Echallens</v>
      </c>
      <c r="C75" s="321">
        <f>Données!C75</f>
        <v>6722</v>
      </c>
      <c r="D75" s="336"/>
      <c r="E75" s="318">
        <f>Données!X75</f>
        <v>658</v>
      </c>
      <c r="F75" s="361">
        <f t="shared" si="13"/>
        <v>9.7887533472180904E-2</v>
      </c>
      <c r="G75" s="336">
        <f t="shared" si="14"/>
        <v>5250.4737443227359</v>
      </c>
      <c r="H75" s="344">
        <f t="shared" si="20"/>
        <v>0</v>
      </c>
      <c r="I75" s="362">
        <f t="shared" si="21"/>
        <v>0</v>
      </c>
      <c r="J75" s="357"/>
      <c r="K75" s="363">
        <f>Données!Y75</f>
        <v>0</v>
      </c>
      <c r="L75" s="324">
        <f>Données!Z75</f>
        <v>3.2000000000000001E-2</v>
      </c>
      <c r="M75" s="336">
        <f t="shared" si="15"/>
        <v>18.714144411473789</v>
      </c>
      <c r="N75" s="362">
        <f t="shared" si="16"/>
        <v>0</v>
      </c>
      <c r="O75" s="357"/>
      <c r="P75" s="318">
        <f>Données!AA75</f>
        <v>824</v>
      </c>
      <c r="Q75" s="359">
        <f>Données!AB75</f>
        <v>16</v>
      </c>
      <c r="R75" s="302">
        <f t="shared" si="17"/>
        <v>826.4</v>
      </c>
      <c r="S75" s="364">
        <f t="shared" si="18"/>
        <v>0.12293960130913419</v>
      </c>
      <c r="T75" s="344">
        <f t="shared" si="19"/>
        <v>917.03598863685465</v>
      </c>
      <c r="U75" s="344">
        <f t="shared" si="22"/>
        <v>0</v>
      </c>
      <c r="V75" s="362">
        <f t="shared" si="23"/>
        <v>0</v>
      </c>
      <c r="W75" s="436"/>
      <c r="X75" s="302">
        <f t="shared" si="24"/>
        <v>0</v>
      </c>
      <c r="Y75" s="322">
        <f t="shared" si="25"/>
        <v>0</v>
      </c>
    </row>
    <row r="76" spans="1:25" x14ac:dyDescent="0.25">
      <c r="A76" s="148">
        <f>Données!A76</f>
        <v>5520</v>
      </c>
      <c r="B76" s="156" t="str">
        <f>Données!B76</f>
        <v>Essertines-sur-Yverdon</v>
      </c>
      <c r="C76" s="321">
        <f>Données!C76</f>
        <v>1148</v>
      </c>
      <c r="D76" s="336"/>
      <c r="E76" s="318">
        <f>Données!X76</f>
        <v>971</v>
      </c>
      <c r="F76" s="361">
        <f t="shared" si="13"/>
        <v>0.84581881533101044</v>
      </c>
      <c r="G76" s="336">
        <f t="shared" si="14"/>
        <v>896.68905957787865</v>
      </c>
      <c r="H76" s="344">
        <f t="shared" si="20"/>
        <v>74.310940422121348</v>
      </c>
      <c r="I76" s="362">
        <f t="shared" si="21"/>
        <v>-7902</v>
      </c>
      <c r="J76" s="357"/>
      <c r="K76" s="363">
        <f>Données!Y76</f>
        <v>0</v>
      </c>
      <c r="L76" s="324">
        <f>Données!Z76</f>
        <v>5.7000000000000002E-2</v>
      </c>
      <c r="M76" s="336">
        <f t="shared" si="15"/>
        <v>33.334569732937688</v>
      </c>
      <c r="N76" s="362">
        <f t="shared" si="16"/>
        <v>0</v>
      </c>
      <c r="O76" s="357"/>
      <c r="P76" s="318">
        <f>Données!AA76</f>
        <v>155</v>
      </c>
      <c r="Q76" s="359">
        <f>Données!AB76</f>
        <v>93</v>
      </c>
      <c r="R76" s="302">
        <f t="shared" si="17"/>
        <v>168.95</v>
      </c>
      <c r="S76" s="364">
        <f t="shared" si="18"/>
        <v>0.14716898954703833</v>
      </c>
      <c r="T76" s="344">
        <f t="shared" si="19"/>
        <v>156.61370350418167</v>
      </c>
      <c r="U76" s="344">
        <f t="shared" si="22"/>
        <v>12.336296495818317</v>
      </c>
      <c r="V76" s="362">
        <f t="shared" si="23"/>
        <v>-52469</v>
      </c>
      <c r="W76" s="436"/>
      <c r="X76" s="302">
        <f t="shared" si="24"/>
        <v>-52469</v>
      </c>
      <c r="Y76" s="322">
        <f t="shared" si="25"/>
        <v>0</v>
      </c>
    </row>
    <row r="77" spans="1:25" x14ac:dyDescent="0.25">
      <c r="A77" s="148">
        <f>Données!A77</f>
        <v>5521</v>
      </c>
      <c r="B77" s="156" t="str">
        <f>Données!B77</f>
        <v>Etagnières</v>
      </c>
      <c r="C77" s="321">
        <f>Données!C77</f>
        <v>1189</v>
      </c>
      <c r="D77" s="336"/>
      <c r="E77" s="318">
        <f>Données!X77</f>
        <v>376</v>
      </c>
      <c r="F77" s="361">
        <f t="shared" si="13"/>
        <v>0.31623212783851978</v>
      </c>
      <c r="G77" s="336">
        <f t="shared" si="14"/>
        <v>928.71366884851716</v>
      </c>
      <c r="H77" s="344">
        <f t="shared" si="20"/>
        <v>0</v>
      </c>
      <c r="I77" s="362">
        <f t="shared" si="21"/>
        <v>0</v>
      </c>
      <c r="J77" s="357"/>
      <c r="K77" s="363">
        <f>Données!Y77</f>
        <v>0</v>
      </c>
      <c r="L77" s="324">
        <f>Données!Z77</f>
        <v>1.2999999999999999E-2</v>
      </c>
      <c r="M77" s="336">
        <f t="shared" si="15"/>
        <v>7.6026211671612263</v>
      </c>
      <c r="N77" s="362">
        <f t="shared" si="16"/>
        <v>0</v>
      </c>
      <c r="O77" s="357"/>
      <c r="P77" s="318">
        <f>Données!AA77</f>
        <v>130</v>
      </c>
      <c r="Q77" s="359">
        <f>Données!AB77</f>
        <v>45</v>
      </c>
      <c r="R77" s="302">
        <f t="shared" si="17"/>
        <v>136.75</v>
      </c>
      <c r="S77" s="364">
        <f t="shared" si="18"/>
        <v>0.11501261564339782</v>
      </c>
      <c r="T77" s="344">
        <f t="shared" si="19"/>
        <v>162.20705005790245</v>
      </c>
      <c r="U77" s="344">
        <f t="shared" si="22"/>
        <v>0</v>
      </c>
      <c r="V77" s="362">
        <f t="shared" si="23"/>
        <v>0</v>
      </c>
      <c r="W77" s="436"/>
      <c r="X77" s="302">
        <f t="shared" si="24"/>
        <v>0</v>
      </c>
      <c r="Y77" s="322">
        <f t="shared" si="25"/>
        <v>0</v>
      </c>
    </row>
    <row r="78" spans="1:25" x14ac:dyDescent="0.25">
      <c r="A78" s="148">
        <f>Données!A78</f>
        <v>5522</v>
      </c>
      <c r="B78" s="156" t="str">
        <f>Données!B78</f>
        <v>Fey</v>
      </c>
      <c r="C78" s="321">
        <f>Données!C78</f>
        <v>789</v>
      </c>
      <c r="D78" s="336"/>
      <c r="E78" s="318">
        <f>Données!X78</f>
        <v>741</v>
      </c>
      <c r="F78" s="361">
        <f t="shared" si="13"/>
        <v>0.93916349809885935</v>
      </c>
      <c r="G78" s="336">
        <f t="shared" si="14"/>
        <v>616.27845645204377</v>
      </c>
      <c r="H78" s="344">
        <f t="shared" si="20"/>
        <v>124.72154354795623</v>
      </c>
      <c r="I78" s="362">
        <f t="shared" si="21"/>
        <v>-13262</v>
      </c>
      <c r="J78" s="357"/>
      <c r="K78" s="363">
        <f>Données!Y78</f>
        <v>0</v>
      </c>
      <c r="L78" s="324">
        <f>Données!Z78</f>
        <v>7.0999999999999994E-2</v>
      </c>
      <c r="M78" s="336">
        <f t="shared" si="15"/>
        <v>41.52200791295747</v>
      </c>
      <c r="N78" s="362">
        <f t="shared" si="16"/>
        <v>0</v>
      </c>
      <c r="O78" s="357"/>
      <c r="P78" s="318">
        <f>Données!AA78</f>
        <v>118</v>
      </c>
      <c r="Q78" s="359">
        <f>Données!AB78</f>
        <v>116</v>
      </c>
      <c r="R78" s="302">
        <f t="shared" si="17"/>
        <v>135.4</v>
      </c>
      <c r="S78" s="364">
        <f t="shared" si="18"/>
        <v>0.17160963244613436</v>
      </c>
      <c r="T78" s="344">
        <f t="shared" si="19"/>
        <v>107.63781538745587</v>
      </c>
      <c r="U78" s="344">
        <f t="shared" si="22"/>
        <v>27.762184612544132</v>
      </c>
      <c r="V78" s="362">
        <f t="shared" si="23"/>
        <v>-118079</v>
      </c>
      <c r="W78" s="436"/>
      <c r="X78" s="302">
        <f t="shared" si="24"/>
        <v>-74005.934718100878</v>
      </c>
      <c r="Y78" s="322">
        <f t="shared" si="25"/>
        <v>-44073.065281899122</v>
      </c>
    </row>
    <row r="79" spans="1:25" x14ac:dyDescent="0.25">
      <c r="A79" s="148">
        <f>Données!A79</f>
        <v>5523</v>
      </c>
      <c r="B79" s="156" t="str">
        <f>Données!B79</f>
        <v>Froideville</v>
      </c>
      <c r="C79" s="321">
        <f>Données!C79</f>
        <v>2731</v>
      </c>
      <c r="D79" s="336"/>
      <c r="E79" s="318">
        <f>Données!X79</f>
        <v>703</v>
      </c>
      <c r="F79" s="361">
        <f t="shared" si="13"/>
        <v>0.25741486634932259</v>
      </c>
      <c r="G79" s="336">
        <f t="shared" si="14"/>
        <v>2133.151412636922</v>
      </c>
      <c r="H79" s="344">
        <f t="shared" si="20"/>
        <v>0</v>
      </c>
      <c r="I79" s="362">
        <f t="shared" si="21"/>
        <v>0</v>
      </c>
      <c r="J79" s="357"/>
      <c r="K79" s="363">
        <f>Données!Y79</f>
        <v>2731</v>
      </c>
      <c r="L79" s="324">
        <f>Données!Z79</f>
        <v>3.3000000000000002E-2</v>
      </c>
      <c r="M79" s="336">
        <f t="shared" si="15"/>
        <v>19.298961424332347</v>
      </c>
      <c r="N79" s="362">
        <f t="shared" si="16"/>
        <v>-52705</v>
      </c>
      <c r="O79" s="357"/>
      <c r="P79" s="318">
        <f>Données!AA79</f>
        <v>377</v>
      </c>
      <c r="Q79" s="359">
        <f>Données!AB79</f>
        <v>137</v>
      </c>
      <c r="R79" s="302">
        <f t="shared" si="17"/>
        <v>397.55</v>
      </c>
      <c r="S79" s="364">
        <f t="shared" si="18"/>
        <v>0.14556938850238008</v>
      </c>
      <c r="T79" s="344">
        <f t="shared" si="19"/>
        <v>372.57144971247402</v>
      </c>
      <c r="U79" s="344">
        <f t="shared" si="22"/>
        <v>24.978550287525991</v>
      </c>
      <c r="V79" s="362">
        <f t="shared" si="23"/>
        <v>-106239</v>
      </c>
      <c r="W79" s="436"/>
      <c r="X79" s="302">
        <f t="shared" si="24"/>
        <v>-87403.56083086053</v>
      </c>
      <c r="Y79" s="322">
        <f t="shared" si="25"/>
        <v>-18835.43916913947</v>
      </c>
    </row>
    <row r="80" spans="1:25" x14ac:dyDescent="0.25">
      <c r="A80" s="148">
        <f>Données!A80</f>
        <v>5527</v>
      </c>
      <c r="B80" s="156" t="str">
        <f>Données!B80</f>
        <v>Morrens</v>
      </c>
      <c r="C80" s="321">
        <f>Données!C80</f>
        <v>1153</v>
      </c>
      <c r="D80" s="336"/>
      <c r="E80" s="318">
        <f>Données!X80</f>
        <v>368</v>
      </c>
      <c r="F80" s="361">
        <f t="shared" si="13"/>
        <v>0.31916738941890721</v>
      </c>
      <c r="G80" s="336">
        <f t="shared" si="14"/>
        <v>900.59449973283461</v>
      </c>
      <c r="H80" s="344">
        <f t="shared" si="20"/>
        <v>0</v>
      </c>
      <c r="I80" s="362">
        <f t="shared" si="21"/>
        <v>0</v>
      </c>
      <c r="J80" s="357"/>
      <c r="K80" s="363">
        <f>Données!Y80</f>
        <v>0</v>
      </c>
      <c r="L80" s="324">
        <f>Données!Z80</f>
        <v>5.1999999999999998E-2</v>
      </c>
      <c r="M80" s="336">
        <f t="shared" si="15"/>
        <v>30.410484668644905</v>
      </c>
      <c r="N80" s="362">
        <f t="shared" si="16"/>
        <v>0</v>
      </c>
      <c r="O80" s="357"/>
      <c r="P80" s="318">
        <f>Données!AA80</f>
        <v>169</v>
      </c>
      <c r="Q80" s="359">
        <f>Données!AB80</f>
        <v>17</v>
      </c>
      <c r="R80" s="302">
        <f t="shared" si="17"/>
        <v>171.55</v>
      </c>
      <c r="S80" s="364">
        <f t="shared" si="18"/>
        <v>0.14878577623590633</v>
      </c>
      <c r="T80" s="344">
        <f t="shared" si="19"/>
        <v>157.29581893756225</v>
      </c>
      <c r="U80" s="344">
        <f t="shared" si="22"/>
        <v>14.254181062437766</v>
      </c>
      <c r="V80" s="362">
        <f t="shared" si="23"/>
        <v>-60626</v>
      </c>
      <c r="W80" s="436"/>
      <c r="X80" s="302">
        <f t="shared" si="24"/>
        <v>-10845.697329376853</v>
      </c>
      <c r="Y80" s="322">
        <f t="shared" si="25"/>
        <v>-49780.302670623147</v>
      </c>
    </row>
    <row r="81" spans="1:25" x14ac:dyDescent="0.25">
      <c r="A81" s="148">
        <f>Données!A81</f>
        <v>5529</v>
      </c>
      <c r="B81" s="156" t="str">
        <f>Données!B81</f>
        <v>Oulens-sous-Echallens</v>
      </c>
      <c r="C81" s="321">
        <f>Données!C81</f>
        <v>607</v>
      </c>
      <c r="D81" s="336"/>
      <c r="E81" s="318">
        <f>Données!X81</f>
        <v>588</v>
      </c>
      <c r="F81" s="361">
        <f t="shared" si="13"/>
        <v>0.96869851729818779</v>
      </c>
      <c r="G81" s="336">
        <f t="shared" si="14"/>
        <v>474.12043481164841</v>
      </c>
      <c r="H81" s="344">
        <f t="shared" si="20"/>
        <v>113.87956518835159</v>
      </c>
      <c r="I81" s="362">
        <f t="shared" si="21"/>
        <v>-12109</v>
      </c>
      <c r="J81" s="357"/>
      <c r="K81" s="363">
        <f>Données!Y81</f>
        <v>0</v>
      </c>
      <c r="L81" s="324">
        <f>Données!Z81</f>
        <v>3.4000000000000002E-2</v>
      </c>
      <c r="M81" s="336">
        <f t="shared" si="15"/>
        <v>19.883778437190902</v>
      </c>
      <c r="N81" s="362">
        <f t="shared" si="16"/>
        <v>0</v>
      </c>
      <c r="O81" s="357"/>
      <c r="P81" s="318">
        <f>Données!AA81</f>
        <v>83</v>
      </c>
      <c r="Q81" s="359">
        <f>Données!AB81</f>
        <v>59</v>
      </c>
      <c r="R81" s="302">
        <f t="shared" si="17"/>
        <v>91.85</v>
      </c>
      <c r="S81" s="364">
        <f t="shared" si="18"/>
        <v>0.15131795716639207</v>
      </c>
      <c r="T81" s="344">
        <f t="shared" si="19"/>
        <v>82.808813612402673</v>
      </c>
      <c r="U81" s="344">
        <f t="shared" si="22"/>
        <v>9.0411863875973211</v>
      </c>
      <c r="V81" s="362">
        <f t="shared" si="23"/>
        <v>-38454</v>
      </c>
      <c r="W81" s="436"/>
      <c r="X81" s="302">
        <f t="shared" si="24"/>
        <v>-37640.949554896135</v>
      </c>
      <c r="Y81" s="322">
        <f t="shared" si="25"/>
        <v>-813.05044510386506</v>
      </c>
    </row>
    <row r="82" spans="1:25" x14ac:dyDescent="0.25">
      <c r="A82" s="148">
        <f>Données!A82</f>
        <v>5530</v>
      </c>
      <c r="B82" s="156" t="str">
        <f>Données!B82</f>
        <v>Pailly</v>
      </c>
      <c r="C82" s="321">
        <f>Données!C82</f>
        <v>576</v>
      </c>
      <c r="D82" s="336"/>
      <c r="E82" s="318">
        <f>Données!X82</f>
        <v>570</v>
      </c>
      <c r="F82" s="361">
        <f t="shared" si="13"/>
        <v>0.98958333333333337</v>
      </c>
      <c r="G82" s="336">
        <f t="shared" si="14"/>
        <v>449.9067058509217</v>
      </c>
      <c r="H82" s="344">
        <f t="shared" si="20"/>
        <v>120.0932941490783</v>
      </c>
      <c r="I82" s="362">
        <f t="shared" si="21"/>
        <v>-12770</v>
      </c>
      <c r="J82" s="357"/>
      <c r="K82" s="363">
        <f>Données!Y82</f>
        <v>0</v>
      </c>
      <c r="L82" s="324">
        <f>Données!Z82</f>
        <v>0.04</v>
      </c>
      <c r="M82" s="336">
        <f t="shared" si="15"/>
        <v>23.392680514342238</v>
      </c>
      <c r="N82" s="362">
        <f t="shared" si="16"/>
        <v>0</v>
      </c>
      <c r="O82" s="357"/>
      <c r="P82" s="318">
        <f>Données!AA82</f>
        <v>95</v>
      </c>
      <c r="Q82" s="359">
        <f>Données!AB82</f>
        <v>47</v>
      </c>
      <c r="R82" s="302">
        <f t="shared" si="17"/>
        <v>102.05</v>
      </c>
      <c r="S82" s="364">
        <f t="shared" si="18"/>
        <v>0.17717013888888888</v>
      </c>
      <c r="T82" s="344">
        <f t="shared" si="19"/>
        <v>78.579697925443071</v>
      </c>
      <c r="U82" s="344">
        <f t="shared" si="22"/>
        <v>23.470302074556926</v>
      </c>
      <c r="V82" s="362">
        <f t="shared" si="23"/>
        <v>-99824</v>
      </c>
      <c r="W82" s="436"/>
      <c r="X82" s="302">
        <f t="shared" si="24"/>
        <v>-29985.163204747772</v>
      </c>
      <c r="Y82" s="322">
        <f t="shared" si="25"/>
        <v>-69838.836795252224</v>
      </c>
    </row>
    <row r="83" spans="1:25" x14ac:dyDescent="0.25">
      <c r="A83" s="148">
        <f>Données!A83</f>
        <v>5531</v>
      </c>
      <c r="B83" s="156" t="str">
        <f>Données!B83</f>
        <v>Penthéréaz</v>
      </c>
      <c r="C83" s="321">
        <f>Données!C83</f>
        <v>430</v>
      </c>
      <c r="D83" s="336"/>
      <c r="E83" s="318">
        <f>Données!X83</f>
        <v>570</v>
      </c>
      <c r="F83" s="361">
        <f t="shared" si="13"/>
        <v>1.3255813953488371</v>
      </c>
      <c r="G83" s="336">
        <f t="shared" si="14"/>
        <v>335.86785332620889</v>
      </c>
      <c r="H83" s="344">
        <f t="shared" si="20"/>
        <v>234.13214667379111</v>
      </c>
      <c r="I83" s="362">
        <f t="shared" si="21"/>
        <v>-24895</v>
      </c>
      <c r="J83" s="357"/>
      <c r="K83" s="363">
        <f>Données!Y83</f>
        <v>0</v>
      </c>
      <c r="L83" s="324">
        <f>Données!Z83</f>
        <v>0.03</v>
      </c>
      <c r="M83" s="336">
        <f t="shared" si="15"/>
        <v>17.544510385756677</v>
      </c>
      <c r="N83" s="362">
        <f t="shared" si="16"/>
        <v>0</v>
      </c>
      <c r="O83" s="357"/>
      <c r="P83" s="318">
        <f>Données!AA83</f>
        <v>57</v>
      </c>
      <c r="Q83" s="359">
        <f>Données!AB83</f>
        <v>57</v>
      </c>
      <c r="R83" s="302">
        <f t="shared" si="17"/>
        <v>65.55</v>
      </c>
      <c r="S83" s="364">
        <f t="shared" si="18"/>
        <v>0.15244186046511626</v>
      </c>
      <c r="T83" s="344">
        <f t="shared" si="19"/>
        <v>58.661927270730068</v>
      </c>
      <c r="U83" s="344">
        <f t="shared" si="22"/>
        <v>6.8880727292699291</v>
      </c>
      <c r="V83" s="362">
        <f t="shared" si="23"/>
        <v>-29296</v>
      </c>
      <c r="W83" s="436"/>
      <c r="X83" s="302">
        <f t="shared" si="24"/>
        <v>-29296</v>
      </c>
      <c r="Y83" s="322">
        <f t="shared" si="25"/>
        <v>0</v>
      </c>
    </row>
    <row r="84" spans="1:25" x14ac:dyDescent="0.25">
      <c r="A84" s="148">
        <f>Données!A84</f>
        <v>5533</v>
      </c>
      <c r="B84" s="156" t="str">
        <f>Données!B84</f>
        <v>Poliez-Pittet</v>
      </c>
      <c r="C84" s="321">
        <f>Données!C84</f>
        <v>850</v>
      </c>
      <c r="D84" s="336"/>
      <c r="E84" s="318">
        <f>Données!X84</f>
        <v>498</v>
      </c>
      <c r="F84" s="361">
        <f t="shared" si="13"/>
        <v>0.58588235294117652</v>
      </c>
      <c r="G84" s="336">
        <f t="shared" si="14"/>
        <v>663.92482634250598</v>
      </c>
      <c r="H84" s="344">
        <f t="shared" si="20"/>
        <v>0</v>
      </c>
      <c r="I84" s="362">
        <f t="shared" si="21"/>
        <v>0</v>
      </c>
      <c r="J84" s="357"/>
      <c r="K84" s="363">
        <f>Données!Y84</f>
        <v>715</v>
      </c>
      <c r="L84" s="324">
        <f>Données!Z84</f>
        <v>5.3999999999999999E-2</v>
      </c>
      <c r="M84" s="336">
        <f t="shared" si="15"/>
        <v>31.580118694362021</v>
      </c>
      <c r="N84" s="362">
        <f t="shared" si="16"/>
        <v>-22580</v>
      </c>
      <c r="O84" s="357"/>
      <c r="P84" s="318">
        <f>Données!AA84</f>
        <v>140</v>
      </c>
      <c r="Q84" s="359">
        <f>Données!AB84</f>
        <v>47</v>
      </c>
      <c r="R84" s="302">
        <f t="shared" si="17"/>
        <v>147.05000000000001</v>
      </c>
      <c r="S84" s="364">
        <f t="shared" si="18"/>
        <v>0.17300000000000001</v>
      </c>
      <c r="T84" s="344">
        <f t="shared" si="19"/>
        <v>115.95962367469897</v>
      </c>
      <c r="U84" s="344">
        <f t="shared" si="22"/>
        <v>31.090376325301037</v>
      </c>
      <c r="V84" s="362">
        <f t="shared" si="23"/>
        <v>-132234</v>
      </c>
      <c r="W84" s="436"/>
      <c r="X84" s="302">
        <f t="shared" si="24"/>
        <v>-29985.163204747772</v>
      </c>
      <c r="Y84" s="322">
        <f t="shared" si="25"/>
        <v>-102248.83679525222</v>
      </c>
    </row>
    <row r="85" spans="1:25" x14ac:dyDescent="0.25">
      <c r="A85" s="148">
        <f>Données!A85</f>
        <v>5534</v>
      </c>
      <c r="B85" s="156" t="str">
        <f>Données!B85</f>
        <v>Rueyres</v>
      </c>
      <c r="C85" s="321">
        <f>Données!C85</f>
        <v>304</v>
      </c>
      <c r="D85" s="336"/>
      <c r="E85" s="318">
        <f>Données!X85</f>
        <v>199</v>
      </c>
      <c r="F85" s="361">
        <f t="shared" si="13"/>
        <v>0.65460526315789469</v>
      </c>
      <c r="G85" s="336">
        <f t="shared" si="14"/>
        <v>237.45076142131978</v>
      </c>
      <c r="H85" s="344">
        <f t="shared" si="20"/>
        <v>0</v>
      </c>
      <c r="I85" s="362">
        <f t="shared" si="21"/>
        <v>0</v>
      </c>
      <c r="J85" s="357"/>
      <c r="K85" s="363">
        <f>Données!Y85</f>
        <v>0</v>
      </c>
      <c r="L85" s="324">
        <f>Données!Z85</f>
        <v>0.10100000000000001</v>
      </c>
      <c r="M85" s="336">
        <f t="shared" si="15"/>
        <v>59.066518298714151</v>
      </c>
      <c r="N85" s="362">
        <f t="shared" si="16"/>
        <v>0</v>
      </c>
      <c r="O85" s="357"/>
      <c r="P85" s="318">
        <f>Données!AA85</f>
        <v>37</v>
      </c>
      <c r="Q85" s="359">
        <f>Données!AB85</f>
        <v>1</v>
      </c>
      <c r="R85" s="302">
        <f t="shared" si="17"/>
        <v>37.15</v>
      </c>
      <c r="S85" s="364">
        <f t="shared" si="18"/>
        <v>0.12220394736842105</v>
      </c>
      <c r="T85" s="344">
        <f t="shared" si="19"/>
        <v>41.472618349539395</v>
      </c>
      <c r="U85" s="344">
        <f t="shared" si="22"/>
        <v>0</v>
      </c>
      <c r="V85" s="362">
        <f t="shared" si="23"/>
        <v>0</v>
      </c>
      <c r="W85" s="436"/>
      <c r="X85" s="302">
        <f t="shared" si="24"/>
        <v>0</v>
      </c>
      <c r="Y85" s="322">
        <f t="shared" si="25"/>
        <v>0</v>
      </c>
    </row>
    <row r="86" spans="1:25" x14ac:dyDescent="0.25">
      <c r="A86" s="148">
        <f>Données!A86</f>
        <v>5535</v>
      </c>
      <c r="B86" s="156" t="str">
        <f>Données!B86</f>
        <v>Saint-Barthélemy</v>
      </c>
      <c r="C86" s="321">
        <f>Données!C86</f>
        <v>837</v>
      </c>
      <c r="D86" s="336"/>
      <c r="E86" s="318">
        <f>Données!X86</f>
        <v>412</v>
      </c>
      <c r="F86" s="361">
        <f t="shared" si="13"/>
        <v>0.49223416965352451</v>
      </c>
      <c r="G86" s="336">
        <f t="shared" si="14"/>
        <v>653.77068193962054</v>
      </c>
      <c r="H86" s="344">
        <f t="shared" si="20"/>
        <v>0</v>
      </c>
      <c r="I86" s="362">
        <f t="shared" si="21"/>
        <v>0</v>
      </c>
      <c r="J86" s="357"/>
      <c r="K86" s="363">
        <f>Données!Y86</f>
        <v>0</v>
      </c>
      <c r="L86" s="324">
        <f>Données!Z86</f>
        <v>2.3E-2</v>
      </c>
      <c r="M86" s="336">
        <f t="shared" si="15"/>
        <v>13.450791295746786</v>
      </c>
      <c r="N86" s="362">
        <f t="shared" si="16"/>
        <v>0</v>
      </c>
      <c r="O86" s="357"/>
      <c r="P86" s="318">
        <f>Données!AA86</f>
        <v>104</v>
      </c>
      <c r="Q86" s="359">
        <f>Données!AB86</f>
        <v>104</v>
      </c>
      <c r="R86" s="302">
        <f t="shared" si="17"/>
        <v>119.6</v>
      </c>
      <c r="S86" s="364">
        <f t="shared" si="18"/>
        <v>0.14289127837514934</v>
      </c>
      <c r="T86" s="344">
        <f t="shared" si="19"/>
        <v>114.18612354790946</v>
      </c>
      <c r="U86" s="344">
        <f t="shared" si="22"/>
        <v>5.413876452090534</v>
      </c>
      <c r="V86" s="362">
        <f t="shared" si="23"/>
        <v>-23026</v>
      </c>
      <c r="W86" s="436"/>
      <c r="X86" s="302">
        <f t="shared" si="24"/>
        <v>-23026</v>
      </c>
      <c r="Y86" s="322">
        <f t="shared" si="25"/>
        <v>0</v>
      </c>
    </row>
    <row r="87" spans="1:25" x14ac:dyDescent="0.25">
      <c r="A87" s="148">
        <f>Données!A87</f>
        <v>5537</v>
      </c>
      <c r="B87" s="156" t="str">
        <f>Données!B87</f>
        <v>Villars-le-Terroir</v>
      </c>
      <c r="C87" s="321">
        <f>Données!C87</f>
        <v>1307</v>
      </c>
      <c r="D87" s="336"/>
      <c r="E87" s="318">
        <f>Données!X87</f>
        <v>711</v>
      </c>
      <c r="F87" s="361">
        <f t="shared" si="13"/>
        <v>0.54399387911247132</v>
      </c>
      <c r="G87" s="336">
        <f t="shared" si="14"/>
        <v>1020.8820565054768</v>
      </c>
      <c r="H87" s="344">
        <f t="shared" si="20"/>
        <v>0</v>
      </c>
      <c r="I87" s="362">
        <f t="shared" si="21"/>
        <v>0</v>
      </c>
      <c r="J87" s="357"/>
      <c r="K87" s="363">
        <f>Données!Y87</f>
        <v>0</v>
      </c>
      <c r="L87" s="324">
        <f>Données!Z87</f>
        <v>2.3E-2</v>
      </c>
      <c r="M87" s="336">
        <f t="shared" si="15"/>
        <v>13.450791295746786</v>
      </c>
      <c r="N87" s="362">
        <f t="shared" si="16"/>
        <v>0</v>
      </c>
      <c r="O87" s="357"/>
      <c r="P87" s="318">
        <f>Données!AA87</f>
        <v>205</v>
      </c>
      <c r="Q87" s="359">
        <f>Données!AB87</f>
        <v>27</v>
      </c>
      <c r="R87" s="302">
        <f t="shared" si="17"/>
        <v>209.05</v>
      </c>
      <c r="S87" s="364">
        <f t="shared" si="18"/>
        <v>0.15994644223412396</v>
      </c>
      <c r="T87" s="344">
        <f t="shared" si="19"/>
        <v>178.30497428568418</v>
      </c>
      <c r="U87" s="344">
        <f t="shared" si="22"/>
        <v>30.74502571431583</v>
      </c>
      <c r="V87" s="362">
        <f t="shared" si="23"/>
        <v>-130765</v>
      </c>
      <c r="W87" s="436"/>
      <c r="X87" s="302">
        <f t="shared" si="24"/>
        <v>-17225.519287833828</v>
      </c>
      <c r="Y87" s="322">
        <f t="shared" si="25"/>
        <v>-113539.48071216617</v>
      </c>
    </row>
    <row r="88" spans="1:25" x14ac:dyDescent="0.25">
      <c r="A88" s="148">
        <f>Données!A88</f>
        <v>5539</v>
      </c>
      <c r="B88" s="156" t="str">
        <f>Données!B88</f>
        <v>Vuarrens</v>
      </c>
      <c r="C88" s="321">
        <f>Données!C88</f>
        <v>1120</v>
      </c>
      <c r="D88" s="336"/>
      <c r="E88" s="318">
        <f>Données!X88</f>
        <v>895</v>
      </c>
      <c r="F88" s="361">
        <f t="shared" si="13"/>
        <v>0.7991071428571429</v>
      </c>
      <c r="G88" s="336">
        <f t="shared" si="14"/>
        <v>874.81859471012558</v>
      </c>
      <c r="H88" s="344">
        <f t="shared" si="20"/>
        <v>20.181405289874419</v>
      </c>
      <c r="I88" s="362">
        <f t="shared" si="21"/>
        <v>-2146</v>
      </c>
      <c r="J88" s="357"/>
      <c r="K88" s="363">
        <f>Données!Y88</f>
        <v>0</v>
      </c>
      <c r="L88" s="324">
        <f>Données!Z88</f>
        <v>0.02</v>
      </c>
      <c r="M88" s="336">
        <f t="shared" si="15"/>
        <v>11.696340257171119</v>
      </c>
      <c r="N88" s="362">
        <f t="shared" si="16"/>
        <v>0</v>
      </c>
      <c r="O88" s="357"/>
      <c r="P88" s="318">
        <f>Données!AA88</f>
        <v>176</v>
      </c>
      <c r="Q88" s="359">
        <f>Données!AB88</f>
        <v>176</v>
      </c>
      <c r="R88" s="302">
        <f t="shared" si="17"/>
        <v>202.4</v>
      </c>
      <c r="S88" s="364">
        <f t="shared" si="18"/>
        <v>0.18071428571428572</v>
      </c>
      <c r="T88" s="344">
        <f t="shared" si="19"/>
        <v>152.79385707725041</v>
      </c>
      <c r="U88" s="344">
        <f t="shared" si="22"/>
        <v>49.606142922749598</v>
      </c>
      <c r="V88" s="362">
        <f t="shared" si="23"/>
        <v>-210986</v>
      </c>
      <c r="W88" s="436"/>
      <c r="X88" s="302">
        <f t="shared" si="24"/>
        <v>-112284.86646884272</v>
      </c>
      <c r="Y88" s="322">
        <f t="shared" si="25"/>
        <v>-98701.133531157277</v>
      </c>
    </row>
    <row r="89" spans="1:25" x14ac:dyDescent="0.25">
      <c r="A89" s="148">
        <f>Données!A89</f>
        <v>5540</v>
      </c>
      <c r="B89" s="156" t="str">
        <f>Données!B89</f>
        <v>Montilliez</v>
      </c>
      <c r="C89" s="321">
        <f>Données!C89</f>
        <v>1874</v>
      </c>
      <c r="D89" s="336"/>
      <c r="E89" s="318">
        <f>Données!X89</f>
        <v>1183</v>
      </c>
      <c r="F89" s="361">
        <f t="shared" si="13"/>
        <v>0.63127001067235855</v>
      </c>
      <c r="G89" s="336">
        <f t="shared" si="14"/>
        <v>1463.7589700774779</v>
      </c>
      <c r="H89" s="344">
        <f t="shared" si="20"/>
        <v>0</v>
      </c>
      <c r="I89" s="362">
        <f t="shared" si="21"/>
        <v>0</v>
      </c>
      <c r="J89" s="357"/>
      <c r="K89" s="363">
        <f>Données!Y89</f>
        <v>226</v>
      </c>
      <c r="L89" s="324">
        <f>Données!Z89</f>
        <v>5.5E-2</v>
      </c>
      <c r="M89" s="336">
        <f t="shared" si="15"/>
        <v>32.164935707220579</v>
      </c>
      <c r="N89" s="362">
        <f t="shared" si="16"/>
        <v>-7269</v>
      </c>
      <c r="O89" s="357"/>
      <c r="P89" s="318">
        <f>Données!AA89</f>
        <v>222</v>
      </c>
      <c r="Q89" s="359">
        <f>Données!AB89</f>
        <v>119</v>
      </c>
      <c r="R89" s="302">
        <f t="shared" si="17"/>
        <v>239.85</v>
      </c>
      <c r="S89" s="364">
        <f t="shared" si="18"/>
        <v>0.12798826040554961</v>
      </c>
      <c r="T89" s="344">
        <f t="shared" si="19"/>
        <v>255.65686443104221</v>
      </c>
      <c r="U89" s="344">
        <f t="shared" si="22"/>
        <v>0</v>
      </c>
      <c r="V89" s="362">
        <f t="shared" si="23"/>
        <v>0</v>
      </c>
      <c r="W89" s="436"/>
      <c r="X89" s="302">
        <f t="shared" si="24"/>
        <v>0</v>
      </c>
      <c r="Y89" s="322">
        <f t="shared" si="25"/>
        <v>0</v>
      </c>
    </row>
    <row r="90" spans="1:25" x14ac:dyDescent="0.25">
      <c r="A90" s="148">
        <f>Données!A90</f>
        <v>5541</v>
      </c>
      <c r="B90" s="156" t="str">
        <f>Données!B90</f>
        <v>Goumoëns</v>
      </c>
      <c r="C90" s="321">
        <f>Données!C90</f>
        <v>1211</v>
      </c>
      <c r="D90" s="336"/>
      <c r="E90" s="318">
        <f>Données!X90</f>
        <v>1063</v>
      </c>
      <c r="F90" s="361">
        <f t="shared" si="13"/>
        <v>0.87778695293146158</v>
      </c>
      <c r="G90" s="336">
        <f t="shared" si="14"/>
        <v>945.89760553032329</v>
      </c>
      <c r="H90" s="344">
        <f t="shared" si="20"/>
        <v>117.10239446967671</v>
      </c>
      <c r="I90" s="362">
        <f t="shared" si="21"/>
        <v>-12452</v>
      </c>
      <c r="J90" s="357"/>
      <c r="K90" s="363">
        <f>Données!Y90</f>
        <v>0</v>
      </c>
      <c r="L90" s="324">
        <f>Données!Z90</f>
        <v>2.9000000000000001E-2</v>
      </c>
      <c r="M90" s="336">
        <f t="shared" si="15"/>
        <v>16.959693372898123</v>
      </c>
      <c r="N90" s="362">
        <f t="shared" si="16"/>
        <v>0</v>
      </c>
      <c r="O90" s="357"/>
      <c r="P90" s="318">
        <f>Données!AA90</f>
        <v>217</v>
      </c>
      <c r="Q90" s="359">
        <f>Données!AB90</f>
        <v>121</v>
      </c>
      <c r="R90" s="302">
        <f t="shared" si="17"/>
        <v>235.15</v>
      </c>
      <c r="S90" s="364">
        <f t="shared" si="18"/>
        <v>0.19417836498761354</v>
      </c>
      <c r="T90" s="344">
        <f t="shared" si="19"/>
        <v>165.20835796477701</v>
      </c>
      <c r="U90" s="344">
        <f t="shared" si="22"/>
        <v>69.941642035222998</v>
      </c>
      <c r="V90" s="362">
        <f t="shared" si="23"/>
        <v>-297477</v>
      </c>
      <c r="W90" s="436"/>
      <c r="X90" s="302">
        <f t="shared" si="24"/>
        <v>-77195.845697329365</v>
      </c>
      <c r="Y90" s="322">
        <f t="shared" si="25"/>
        <v>-220281.15430267062</v>
      </c>
    </row>
    <row r="91" spans="1:25" x14ac:dyDescent="0.25">
      <c r="A91" s="148">
        <f>Données!A91</f>
        <v>5551</v>
      </c>
      <c r="B91" s="156" t="str">
        <f>Données!B91</f>
        <v>Bonvillars</v>
      </c>
      <c r="C91" s="321">
        <f>Données!C91</f>
        <v>518</v>
      </c>
      <c r="D91" s="336"/>
      <c r="E91" s="318">
        <f>Données!X91</f>
        <v>741</v>
      </c>
      <c r="F91" s="361">
        <f t="shared" si="13"/>
        <v>1.4305019305019304</v>
      </c>
      <c r="G91" s="336">
        <f t="shared" si="14"/>
        <v>404.60360005343307</v>
      </c>
      <c r="H91" s="344">
        <f t="shared" si="20"/>
        <v>336.39639994656693</v>
      </c>
      <c r="I91" s="362">
        <f t="shared" si="21"/>
        <v>-35769</v>
      </c>
      <c r="J91" s="357"/>
      <c r="K91" s="363">
        <f>Données!Y91</f>
        <v>21</v>
      </c>
      <c r="L91" s="324">
        <f>Données!Z91</f>
        <v>0.155</v>
      </c>
      <c r="M91" s="336">
        <f t="shared" si="15"/>
        <v>90.646636993076172</v>
      </c>
      <c r="N91" s="362">
        <f t="shared" si="16"/>
        <v>-1904</v>
      </c>
      <c r="O91" s="357"/>
      <c r="P91" s="318">
        <f>Données!AA91</f>
        <v>59</v>
      </c>
      <c r="Q91" s="359">
        <f>Données!AB91</f>
        <v>36</v>
      </c>
      <c r="R91" s="302">
        <f t="shared" si="17"/>
        <v>64.400000000000006</v>
      </c>
      <c r="S91" s="364">
        <f t="shared" si="18"/>
        <v>0.12432432432432433</v>
      </c>
      <c r="T91" s="344">
        <f t="shared" si="19"/>
        <v>70.667158898228323</v>
      </c>
      <c r="U91" s="344">
        <f t="shared" si="22"/>
        <v>0</v>
      </c>
      <c r="V91" s="362">
        <f t="shared" si="23"/>
        <v>0</v>
      </c>
      <c r="W91" s="436"/>
      <c r="X91" s="302">
        <f t="shared" si="24"/>
        <v>0</v>
      </c>
      <c r="Y91" s="322">
        <f t="shared" si="25"/>
        <v>0</v>
      </c>
    </row>
    <row r="92" spans="1:25" x14ac:dyDescent="0.25">
      <c r="A92" s="148">
        <f>Données!A92</f>
        <v>5552</v>
      </c>
      <c r="B92" s="156" t="str">
        <f>Données!B92</f>
        <v>Bullet</v>
      </c>
      <c r="C92" s="321">
        <f>Données!C92</f>
        <v>682</v>
      </c>
      <c r="D92" s="336"/>
      <c r="E92" s="318">
        <f>Données!X92</f>
        <v>1681</v>
      </c>
      <c r="F92" s="361">
        <f t="shared" si="13"/>
        <v>2.4648093841642229</v>
      </c>
      <c r="G92" s="336">
        <f t="shared" si="14"/>
        <v>532.70203713598721</v>
      </c>
      <c r="H92" s="344">
        <f t="shared" si="20"/>
        <v>1148.2979628640128</v>
      </c>
      <c r="I92" s="362">
        <f t="shared" si="21"/>
        <v>-122099</v>
      </c>
      <c r="J92" s="357"/>
      <c r="K92" s="363">
        <f>Données!Y92</f>
        <v>682</v>
      </c>
      <c r="L92" s="324">
        <f>Données!Z92</f>
        <v>0.16800000000000001</v>
      </c>
      <c r="M92" s="336">
        <f t="shared" si="15"/>
        <v>98.249258160237403</v>
      </c>
      <c r="N92" s="362">
        <f t="shared" si="16"/>
        <v>-67006</v>
      </c>
      <c r="O92" s="357"/>
      <c r="P92" s="318">
        <f>Données!AA92</f>
        <v>70</v>
      </c>
      <c r="Q92" s="359">
        <f>Données!AB92</f>
        <v>50</v>
      </c>
      <c r="R92" s="302">
        <f t="shared" si="17"/>
        <v>77.5</v>
      </c>
      <c r="S92" s="364">
        <f t="shared" si="18"/>
        <v>0.11363636363636363</v>
      </c>
      <c r="T92" s="344">
        <f t="shared" si="19"/>
        <v>93.040545113111406</v>
      </c>
      <c r="U92" s="344">
        <f t="shared" si="22"/>
        <v>0</v>
      </c>
      <c r="V92" s="362">
        <f t="shared" si="23"/>
        <v>0</v>
      </c>
      <c r="W92" s="436"/>
      <c r="X92" s="302">
        <f t="shared" si="24"/>
        <v>0</v>
      </c>
      <c r="Y92" s="322">
        <f t="shared" si="25"/>
        <v>0</v>
      </c>
    </row>
    <row r="93" spans="1:25" x14ac:dyDescent="0.25">
      <c r="A93" s="148">
        <f>Données!A93</f>
        <v>5553</v>
      </c>
      <c r="B93" s="156" t="str">
        <f>Données!B93</f>
        <v>Champagne</v>
      </c>
      <c r="C93" s="321">
        <f>Données!C93</f>
        <v>1071</v>
      </c>
      <c r="D93" s="336"/>
      <c r="E93" s="318">
        <f>Données!X93</f>
        <v>385</v>
      </c>
      <c r="F93" s="361">
        <f t="shared" si="13"/>
        <v>0.35947712418300654</v>
      </c>
      <c r="G93" s="336">
        <f t="shared" si="14"/>
        <v>836.54528119155759</v>
      </c>
      <c r="H93" s="344">
        <f t="shared" si="20"/>
        <v>0</v>
      </c>
      <c r="I93" s="362">
        <f t="shared" si="21"/>
        <v>0</v>
      </c>
      <c r="J93" s="357"/>
      <c r="K93" s="363">
        <f>Données!Y93</f>
        <v>0</v>
      </c>
      <c r="L93" s="324">
        <f>Données!Z93</f>
        <v>6.5000000000000002E-2</v>
      </c>
      <c r="M93" s="336">
        <f t="shared" si="15"/>
        <v>38.013105835806137</v>
      </c>
      <c r="N93" s="362">
        <f t="shared" si="16"/>
        <v>0</v>
      </c>
      <c r="O93" s="357"/>
      <c r="P93" s="318">
        <f>Données!AA93</f>
        <v>115</v>
      </c>
      <c r="Q93" s="359">
        <f>Données!AB93</f>
        <v>64</v>
      </c>
      <c r="R93" s="302">
        <f t="shared" si="17"/>
        <v>124.6</v>
      </c>
      <c r="S93" s="364">
        <f t="shared" si="18"/>
        <v>0.11633986928104574</v>
      </c>
      <c r="T93" s="344">
        <f t="shared" si="19"/>
        <v>146.10912583012072</v>
      </c>
      <c r="U93" s="344">
        <f t="shared" si="22"/>
        <v>0</v>
      </c>
      <c r="V93" s="362">
        <f t="shared" si="23"/>
        <v>0</v>
      </c>
      <c r="W93" s="436"/>
      <c r="X93" s="302">
        <f t="shared" si="24"/>
        <v>0</v>
      </c>
      <c r="Y93" s="322">
        <f t="shared" si="25"/>
        <v>0</v>
      </c>
    </row>
    <row r="94" spans="1:25" x14ac:dyDescent="0.25">
      <c r="A94" s="148">
        <f>Données!A94</f>
        <v>5554</v>
      </c>
      <c r="B94" s="156" t="str">
        <f>Données!B94</f>
        <v>Concise</v>
      </c>
      <c r="C94" s="321">
        <f>Données!C94</f>
        <v>1025</v>
      </c>
      <c r="D94" s="336"/>
      <c r="E94" s="318">
        <f>Données!X94</f>
        <v>1136</v>
      </c>
      <c r="F94" s="361">
        <f t="shared" si="13"/>
        <v>1.1082926829268294</v>
      </c>
      <c r="G94" s="336">
        <f t="shared" si="14"/>
        <v>800.61523176596313</v>
      </c>
      <c r="H94" s="344">
        <f t="shared" si="20"/>
        <v>335.38476823403687</v>
      </c>
      <c r="I94" s="362">
        <f t="shared" si="21"/>
        <v>-35662</v>
      </c>
      <c r="J94" s="357"/>
      <c r="K94" s="363">
        <f>Données!Y94</f>
        <v>1</v>
      </c>
      <c r="L94" s="324">
        <f>Données!Z94</f>
        <v>0.251</v>
      </c>
      <c r="M94" s="336">
        <f t="shared" si="15"/>
        <v>146.78907022749755</v>
      </c>
      <c r="N94" s="362">
        <f t="shared" si="16"/>
        <v>-147</v>
      </c>
      <c r="O94" s="357"/>
      <c r="P94" s="318">
        <f>Données!AA94</f>
        <v>132</v>
      </c>
      <c r="Q94" s="359">
        <f>Données!AB94</f>
        <v>65</v>
      </c>
      <c r="R94" s="302">
        <f t="shared" si="17"/>
        <v>141.75</v>
      </c>
      <c r="S94" s="364">
        <f t="shared" si="18"/>
        <v>0.13829268292682928</v>
      </c>
      <c r="T94" s="344">
        <f t="shared" si="19"/>
        <v>139.83366384301934</v>
      </c>
      <c r="U94" s="344">
        <f t="shared" si="22"/>
        <v>1.9163361569806625</v>
      </c>
      <c r="V94" s="362">
        <f t="shared" si="23"/>
        <v>-8151</v>
      </c>
      <c r="W94" s="436"/>
      <c r="X94" s="302">
        <f t="shared" si="24"/>
        <v>-8151</v>
      </c>
      <c r="Y94" s="322">
        <f t="shared" si="25"/>
        <v>0</v>
      </c>
    </row>
    <row r="95" spans="1:25" x14ac:dyDescent="0.25">
      <c r="A95" s="148">
        <f>Données!A95</f>
        <v>5555</v>
      </c>
      <c r="B95" s="156" t="str">
        <f>Données!B95</f>
        <v>Corcelles-près-Concise</v>
      </c>
      <c r="C95" s="321">
        <f>Données!C95</f>
        <v>438</v>
      </c>
      <c r="D95" s="336"/>
      <c r="E95" s="318">
        <f>Données!X95</f>
        <v>405</v>
      </c>
      <c r="F95" s="361">
        <f t="shared" si="13"/>
        <v>0.92465753424657537</v>
      </c>
      <c r="G95" s="336">
        <f t="shared" si="14"/>
        <v>342.11655757413837</v>
      </c>
      <c r="H95" s="344">
        <f t="shared" si="20"/>
        <v>62.883442425861631</v>
      </c>
      <c r="I95" s="362">
        <f t="shared" si="21"/>
        <v>-6686</v>
      </c>
      <c r="J95" s="357"/>
      <c r="K95" s="363">
        <f>Données!Y95</f>
        <v>0</v>
      </c>
      <c r="L95" s="324">
        <f>Données!Z95</f>
        <v>0.23599999999999999</v>
      </c>
      <c r="M95" s="336">
        <f t="shared" si="15"/>
        <v>138.01681503461919</v>
      </c>
      <c r="N95" s="362">
        <f t="shared" si="16"/>
        <v>0</v>
      </c>
      <c r="O95" s="357"/>
      <c r="P95" s="318">
        <f>Données!AA95</f>
        <v>56</v>
      </c>
      <c r="Q95" s="359">
        <f>Données!AB95</f>
        <v>34</v>
      </c>
      <c r="R95" s="302">
        <f t="shared" si="17"/>
        <v>61.1</v>
      </c>
      <c r="S95" s="364">
        <f t="shared" si="18"/>
        <v>0.13949771689497717</v>
      </c>
      <c r="T95" s="344">
        <f t="shared" si="19"/>
        <v>59.753311964139002</v>
      </c>
      <c r="U95" s="344">
        <f t="shared" si="22"/>
        <v>1.3466880358609998</v>
      </c>
      <c r="V95" s="362">
        <f t="shared" si="23"/>
        <v>-5728</v>
      </c>
      <c r="W95" s="436"/>
      <c r="X95" s="302">
        <f t="shared" si="24"/>
        <v>-5728</v>
      </c>
      <c r="Y95" s="322">
        <f t="shared" si="25"/>
        <v>0</v>
      </c>
    </row>
    <row r="96" spans="1:25" x14ac:dyDescent="0.25">
      <c r="A96" s="148">
        <f>Données!A96</f>
        <v>5556</v>
      </c>
      <c r="B96" s="156" t="str">
        <f>Données!B96</f>
        <v>Fiez</v>
      </c>
      <c r="C96" s="321">
        <f>Données!C96</f>
        <v>431</v>
      </c>
      <c r="D96" s="336"/>
      <c r="E96" s="318">
        <f>Données!X96</f>
        <v>679</v>
      </c>
      <c r="F96" s="361">
        <f t="shared" si="13"/>
        <v>1.5754060324825987</v>
      </c>
      <c r="G96" s="336">
        <f t="shared" si="14"/>
        <v>336.6489413572001</v>
      </c>
      <c r="H96" s="344">
        <f t="shared" si="20"/>
        <v>342.3510586427999</v>
      </c>
      <c r="I96" s="362">
        <f t="shared" si="21"/>
        <v>-36402</v>
      </c>
      <c r="J96" s="357"/>
      <c r="K96" s="363">
        <f>Données!Y96</f>
        <v>0</v>
      </c>
      <c r="L96" s="324">
        <f>Données!Z96</f>
        <v>0.249</v>
      </c>
      <c r="M96" s="336">
        <f t="shared" si="15"/>
        <v>145.61943620178042</v>
      </c>
      <c r="N96" s="362">
        <f t="shared" si="16"/>
        <v>0</v>
      </c>
      <c r="O96" s="357"/>
      <c r="P96" s="318">
        <f>Données!AA96</f>
        <v>60</v>
      </c>
      <c r="Q96" s="359">
        <f>Données!AB96</f>
        <v>42</v>
      </c>
      <c r="R96" s="302">
        <f t="shared" si="17"/>
        <v>66.3</v>
      </c>
      <c r="S96" s="364">
        <f t="shared" si="18"/>
        <v>0.15382830626450114</v>
      </c>
      <c r="T96" s="344">
        <f t="shared" si="19"/>
        <v>58.798350357406186</v>
      </c>
      <c r="U96" s="344">
        <f t="shared" si="22"/>
        <v>7.5016496425938115</v>
      </c>
      <c r="V96" s="362">
        <f t="shared" si="23"/>
        <v>-31906</v>
      </c>
      <c r="W96" s="436"/>
      <c r="X96" s="302">
        <f t="shared" si="24"/>
        <v>-26795.252225519285</v>
      </c>
      <c r="Y96" s="322">
        <f t="shared" si="25"/>
        <v>-5110.7477744807147</v>
      </c>
    </row>
    <row r="97" spans="1:25" x14ac:dyDescent="0.25">
      <c r="A97" s="148">
        <f>Données!A97</f>
        <v>5557</v>
      </c>
      <c r="B97" s="156" t="str">
        <f>Données!B97</f>
        <v>Fontaines-sur-Grandson</v>
      </c>
      <c r="C97" s="321">
        <f>Données!C97</f>
        <v>220</v>
      </c>
      <c r="D97" s="336"/>
      <c r="E97" s="318">
        <f>Données!X97</f>
        <v>790</v>
      </c>
      <c r="F97" s="361">
        <f t="shared" si="13"/>
        <v>3.5909090909090908</v>
      </c>
      <c r="G97" s="336">
        <f t="shared" si="14"/>
        <v>171.83936681806037</v>
      </c>
      <c r="H97" s="344">
        <f t="shared" si="20"/>
        <v>618.1606331819396</v>
      </c>
      <c r="I97" s="362">
        <f t="shared" si="21"/>
        <v>-65729</v>
      </c>
      <c r="J97" s="357"/>
      <c r="K97" s="363">
        <f>Données!Y97</f>
        <v>2</v>
      </c>
      <c r="L97" s="324">
        <f>Données!Z97</f>
        <v>0.223</v>
      </c>
      <c r="M97" s="336">
        <f t="shared" si="15"/>
        <v>130.41419386745798</v>
      </c>
      <c r="N97" s="362">
        <f t="shared" si="16"/>
        <v>-261</v>
      </c>
      <c r="O97" s="357"/>
      <c r="P97" s="318">
        <f>Données!AA97</f>
        <v>27</v>
      </c>
      <c r="Q97" s="359">
        <f>Données!AB97</f>
        <v>23</v>
      </c>
      <c r="R97" s="302">
        <f t="shared" si="17"/>
        <v>30.45</v>
      </c>
      <c r="S97" s="364">
        <f t="shared" si="18"/>
        <v>0.1384090909090909</v>
      </c>
      <c r="T97" s="344">
        <f t="shared" si="19"/>
        <v>30.013079068745618</v>
      </c>
      <c r="U97" s="344">
        <f t="shared" si="22"/>
        <v>0.43692093125438092</v>
      </c>
      <c r="V97" s="362">
        <f t="shared" si="23"/>
        <v>-1858</v>
      </c>
      <c r="W97" s="436"/>
      <c r="X97" s="302">
        <f t="shared" si="24"/>
        <v>-1858</v>
      </c>
      <c r="Y97" s="322">
        <f t="shared" si="25"/>
        <v>0</v>
      </c>
    </row>
    <row r="98" spans="1:25" x14ac:dyDescent="0.25">
      <c r="A98" s="148">
        <f>Données!A98</f>
        <v>5559</v>
      </c>
      <c r="B98" s="156" t="str">
        <f>Données!B98</f>
        <v>Giez</v>
      </c>
      <c r="C98" s="321">
        <f>Données!C98</f>
        <v>464</v>
      </c>
      <c r="D98" s="336"/>
      <c r="E98" s="318">
        <f>Données!X98</f>
        <v>473</v>
      </c>
      <c r="F98" s="361">
        <f t="shared" si="13"/>
        <v>1.0193965517241379</v>
      </c>
      <c r="G98" s="336">
        <f t="shared" si="14"/>
        <v>362.42484637990913</v>
      </c>
      <c r="H98" s="344">
        <f t="shared" si="20"/>
        <v>110.57515362009087</v>
      </c>
      <c r="I98" s="362">
        <f t="shared" si="21"/>
        <v>-11757</v>
      </c>
      <c r="J98" s="357"/>
      <c r="K98" s="363">
        <f>Données!Y98</f>
        <v>0</v>
      </c>
      <c r="L98" s="324">
        <f>Données!Z98</f>
        <v>0.08</v>
      </c>
      <c r="M98" s="336">
        <f t="shared" si="15"/>
        <v>46.785361028684477</v>
      </c>
      <c r="N98" s="362">
        <f t="shared" si="16"/>
        <v>0</v>
      </c>
      <c r="O98" s="357"/>
      <c r="P98" s="318">
        <f>Données!AA98</f>
        <v>55</v>
      </c>
      <c r="Q98" s="359">
        <f>Données!AB98</f>
        <v>41</v>
      </c>
      <c r="R98" s="302">
        <f t="shared" si="17"/>
        <v>61.15</v>
      </c>
      <c r="S98" s="364">
        <f t="shared" si="18"/>
        <v>0.13178879310344827</v>
      </c>
      <c r="T98" s="344">
        <f t="shared" si="19"/>
        <v>63.30031221771803</v>
      </c>
      <c r="U98" s="344">
        <f t="shared" si="22"/>
        <v>0</v>
      </c>
      <c r="V98" s="362">
        <f t="shared" si="23"/>
        <v>0</v>
      </c>
      <c r="W98" s="436"/>
      <c r="X98" s="302">
        <f t="shared" si="24"/>
        <v>0</v>
      </c>
      <c r="Y98" s="322">
        <f t="shared" si="25"/>
        <v>0</v>
      </c>
    </row>
    <row r="99" spans="1:25" x14ac:dyDescent="0.25">
      <c r="A99" s="148">
        <f>Données!A99</f>
        <v>5560</v>
      </c>
      <c r="B99" s="156" t="str">
        <f>Données!B99</f>
        <v>Grandevent</v>
      </c>
      <c r="C99" s="321">
        <f>Données!C99</f>
        <v>241</v>
      </c>
      <c r="D99" s="336"/>
      <c r="E99" s="318">
        <f>Données!X99</f>
        <v>346</v>
      </c>
      <c r="F99" s="361">
        <f t="shared" si="13"/>
        <v>1.4356846473029046</v>
      </c>
      <c r="G99" s="336">
        <f t="shared" si="14"/>
        <v>188.24221546887523</v>
      </c>
      <c r="H99" s="344">
        <f t="shared" si="20"/>
        <v>157.75778453112477</v>
      </c>
      <c r="I99" s="362">
        <f t="shared" si="21"/>
        <v>-16774</v>
      </c>
      <c r="J99" s="357"/>
      <c r="K99" s="363">
        <f>Données!Y99</f>
        <v>0</v>
      </c>
      <c r="L99" s="324">
        <f>Données!Z99</f>
        <v>0.307</v>
      </c>
      <c r="M99" s="336">
        <f t="shared" si="15"/>
        <v>179.53882294757668</v>
      </c>
      <c r="N99" s="362">
        <f t="shared" si="16"/>
        <v>0</v>
      </c>
      <c r="O99" s="357"/>
      <c r="P99" s="318">
        <f>Données!AA99</f>
        <v>29</v>
      </c>
      <c r="Q99" s="359">
        <f>Données!AB99</f>
        <v>26</v>
      </c>
      <c r="R99" s="302">
        <f t="shared" si="17"/>
        <v>32.9</v>
      </c>
      <c r="S99" s="364">
        <f t="shared" si="18"/>
        <v>0.13651452282157675</v>
      </c>
      <c r="T99" s="344">
        <f t="shared" si="19"/>
        <v>32.877963888944059</v>
      </c>
      <c r="U99" s="344">
        <f t="shared" si="22"/>
        <v>2.20361110559395E-2</v>
      </c>
      <c r="V99" s="362">
        <f t="shared" si="23"/>
        <v>-94</v>
      </c>
      <c r="W99" s="436"/>
      <c r="X99" s="302">
        <f t="shared" si="24"/>
        <v>-94</v>
      </c>
      <c r="Y99" s="322">
        <f t="shared" si="25"/>
        <v>0</v>
      </c>
    </row>
    <row r="100" spans="1:25" x14ac:dyDescent="0.25">
      <c r="A100" s="148">
        <f>Données!A100</f>
        <v>5561</v>
      </c>
      <c r="B100" s="156" t="str">
        <f>Données!B100</f>
        <v>Grandson</v>
      </c>
      <c r="C100" s="321">
        <f>Données!C100</f>
        <v>3396</v>
      </c>
      <c r="D100" s="336"/>
      <c r="E100" s="318">
        <f>Données!X100</f>
        <v>768</v>
      </c>
      <c r="F100" s="361">
        <f t="shared" si="13"/>
        <v>0.22614840989399293</v>
      </c>
      <c r="G100" s="336">
        <f t="shared" si="14"/>
        <v>2652.5749532460591</v>
      </c>
      <c r="H100" s="344">
        <f t="shared" si="20"/>
        <v>0</v>
      </c>
      <c r="I100" s="362">
        <f t="shared" si="21"/>
        <v>0</v>
      </c>
      <c r="J100" s="357"/>
      <c r="K100" s="363">
        <f>Données!Y100</f>
        <v>0</v>
      </c>
      <c r="L100" s="324">
        <f>Données!Z100</f>
        <v>5.3999999999999999E-2</v>
      </c>
      <c r="M100" s="336">
        <f t="shared" si="15"/>
        <v>31.580118694362021</v>
      </c>
      <c r="N100" s="362">
        <f t="shared" si="16"/>
        <v>0</v>
      </c>
      <c r="O100" s="357"/>
      <c r="P100" s="318">
        <f>Données!AA100</f>
        <v>397</v>
      </c>
      <c r="Q100" s="359">
        <f>Données!AB100</f>
        <v>108</v>
      </c>
      <c r="R100" s="302">
        <f t="shared" si="17"/>
        <v>413.2</v>
      </c>
      <c r="S100" s="364">
        <f t="shared" si="18"/>
        <v>0.12167255594817432</v>
      </c>
      <c r="T100" s="344">
        <f t="shared" si="19"/>
        <v>463.29280235209143</v>
      </c>
      <c r="U100" s="344">
        <f t="shared" si="22"/>
        <v>0</v>
      </c>
      <c r="V100" s="362">
        <f t="shared" si="23"/>
        <v>0</v>
      </c>
      <c r="W100" s="436"/>
      <c r="X100" s="302">
        <f t="shared" si="24"/>
        <v>0</v>
      </c>
      <c r="Y100" s="322">
        <f t="shared" si="25"/>
        <v>0</v>
      </c>
    </row>
    <row r="101" spans="1:25" x14ac:dyDescent="0.25">
      <c r="A101" s="148">
        <f>Données!A101</f>
        <v>5562</v>
      </c>
      <c r="B101" s="156" t="str">
        <f>Données!B101</f>
        <v>Mauborget</v>
      </c>
      <c r="C101" s="321">
        <f>Données!C101</f>
        <v>145</v>
      </c>
      <c r="D101" s="336"/>
      <c r="E101" s="318">
        <f>Données!X101</f>
        <v>551</v>
      </c>
      <c r="F101" s="361">
        <f t="shared" si="13"/>
        <v>3.8</v>
      </c>
      <c r="G101" s="336">
        <f t="shared" si="14"/>
        <v>113.25776449372161</v>
      </c>
      <c r="H101" s="344">
        <f t="shared" si="20"/>
        <v>437.7422355062784</v>
      </c>
      <c r="I101" s="362">
        <f t="shared" si="21"/>
        <v>-46545</v>
      </c>
      <c r="J101" s="357"/>
      <c r="K101" s="363">
        <f>Données!Y101</f>
        <v>145</v>
      </c>
      <c r="L101" s="324">
        <f>Données!Z101</f>
        <v>0.30099999999999999</v>
      </c>
      <c r="M101" s="336">
        <f t="shared" si="15"/>
        <v>176.02992087042531</v>
      </c>
      <c r="N101" s="362">
        <f t="shared" si="16"/>
        <v>-25524</v>
      </c>
      <c r="O101" s="357"/>
      <c r="P101" s="318">
        <f>Données!AA101</f>
        <v>10</v>
      </c>
      <c r="Q101" s="359">
        <f>Données!AB101</f>
        <v>10</v>
      </c>
      <c r="R101" s="302">
        <f t="shared" si="17"/>
        <v>11.5</v>
      </c>
      <c r="S101" s="364">
        <f t="shared" si="18"/>
        <v>7.9310344827586213E-2</v>
      </c>
      <c r="T101" s="344">
        <f t="shared" si="19"/>
        <v>19.781347568036885</v>
      </c>
      <c r="U101" s="344">
        <f t="shared" si="22"/>
        <v>0</v>
      </c>
      <c r="V101" s="362">
        <f t="shared" si="23"/>
        <v>0</v>
      </c>
      <c r="W101" s="436"/>
      <c r="X101" s="302">
        <f t="shared" si="24"/>
        <v>0</v>
      </c>
      <c r="Y101" s="322">
        <f t="shared" si="25"/>
        <v>0</v>
      </c>
    </row>
    <row r="102" spans="1:25" x14ac:dyDescent="0.25">
      <c r="A102" s="148">
        <f>Données!A102</f>
        <v>5563</v>
      </c>
      <c r="B102" s="156" t="str">
        <f>Données!B102</f>
        <v>Mutrux</v>
      </c>
      <c r="C102" s="321">
        <f>Données!C102</f>
        <v>144</v>
      </c>
      <c r="D102" s="336"/>
      <c r="E102" s="318">
        <f>Données!X102</f>
        <v>320</v>
      </c>
      <c r="F102" s="361">
        <f t="shared" si="13"/>
        <v>2.2222222222222223</v>
      </c>
      <c r="G102" s="336">
        <f t="shared" si="14"/>
        <v>112.47667646273042</v>
      </c>
      <c r="H102" s="344">
        <f t="shared" si="20"/>
        <v>207.52332353726956</v>
      </c>
      <c r="I102" s="362">
        <f t="shared" si="21"/>
        <v>-22066</v>
      </c>
      <c r="J102" s="357"/>
      <c r="K102" s="363">
        <f>Données!Y102</f>
        <v>144</v>
      </c>
      <c r="L102" s="324">
        <f>Données!Z102</f>
        <v>0.24399999999999999</v>
      </c>
      <c r="M102" s="336">
        <f t="shared" si="15"/>
        <v>142.69535113748765</v>
      </c>
      <c r="N102" s="362">
        <f t="shared" si="16"/>
        <v>-20548</v>
      </c>
      <c r="O102" s="357"/>
      <c r="P102" s="318">
        <f>Données!AA102</f>
        <v>20</v>
      </c>
      <c r="Q102" s="359">
        <f>Données!AB102</f>
        <v>20</v>
      </c>
      <c r="R102" s="302">
        <f t="shared" si="17"/>
        <v>23</v>
      </c>
      <c r="S102" s="364">
        <f t="shared" si="18"/>
        <v>0.15972222222222221</v>
      </c>
      <c r="T102" s="344">
        <f t="shared" si="19"/>
        <v>19.644924481360768</v>
      </c>
      <c r="U102" s="344">
        <f t="shared" si="22"/>
        <v>3.3550755186392323</v>
      </c>
      <c r="V102" s="362">
        <f t="shared" si="23"/>
        <v>-14270</v>
      </c>
      <c r="W102" s="436"/>
      <c r="X102" s="302">
        <f t="shared" si="24"/>
        <v>-12759.643916913945</v>
      </c>
      <c r="Y102" s="322">
        <f t="shared" si="25"/>
        <v>-1510.3560830860552</v>
      </c>
    </row>
    <row r="103" spans="1:25" x14ac:dyDescent="0.25">
      <c r="A103" s="148">
        <f>Données!A103</f>
        <v>5564</v>
      </c>
      <c r="B103" s="156" t="str">
        <f>Données!B103</f>
        <v>Novalles</v>
      </c>
      <c r="C103" s="321">
        <f>Données!C103</f>
        <v>106</v>
      </c>
      <c r="D103" s="336"/>
      <c r="E103" s="318">
        <f>Données!X103</f>
        <v>201</v>
      </c>
      <c r="F103" s="361">
        <f t="shared" si="13"/>
        <v>1.8962264150943395</v>
      </c>
      <c r="G103" s="336">
        <f t="shared" si="14"/>
        <v>82.795331285065458</v>
      </c>
      <c r="H103" s="344">
        <f t="shared" si="20"/>
        <v>118.20466871493454</v>
      </c>
      <c r="I103" s="362">
        <f t="shared" si="21"/>
        <v>-12569</v>
      </c>
      <c r="J103" s="357"/>
      <c r="K103" s="363">
        <f>Données!Y103</f>
        <v>0</v>
      </c>
      <c r="L103" s="324">
        <f>Données!Z103</f>
        <v>0.40899999999999997</v>
      </c>
      <c r="M103" s="336">
        <f t="shared" si="15"/>
        <v>239.19015825914937</v>
      </c>
      <c r="N103" s="362">
        <f t="shared" si="16"/>
        <v>0</v>
      </c>
      <c r="O103" s="357"/>
      <c r="P103" s="318">
        <f>Données!AA103</f>
        <v>18</v>
      </c>
      <c r="Q103" s="359">
        <f>Données!AB103</f>
        <v>18</v>
      </c>
      <c r="R103" s="302">
        <f t="shared" si="17"/>
        <v>20.7</v>
      </c>
      <c r="S103" s="364">
        <f t="shared" si="18"/>
        <v>0.19528301886792451</v>
      </c>
      <c r="T103" s="344">
        <f t="shared" si="19"/>
        <v>14.460847187668342</v>
      </c>
      <c r="U103" s="344">
        <f t="shared" si="22"/>
        <v>6.2391528123316569</v>
      </c>
      <c r="V103" s="362">
        <f t="shared" si="23"/>
        <v>-26536</v>
      </c>
      <c r="W103" s="436"/>
      <c r="X103" s="302">
        <f t="shared" si="24"/>
        <v>-11483.679525222549</v>
      </c>
      <c r="Y103" s="322">
        <f t="shared" si="25"/>
        <v>-15052.320474777451</v>
      </c>
    </row>
    <row r="104" spans="1:25" x14ac:dyDescent="0.25">
      <c r="A104" s="148">
        <f>Données!A104</f>
        <v>5565</v>
      </c>
      <c r="B104" s="156" t="str">
        <f>Données!B104</f>
        <v>Onnens</v>
      </c>
      <c r="C104" s="321">
        <f>Données!C104</f>
        <v>520</v>
      </c>
      <c r="D104" s="336"/>
      <c r="E104" s="318">
        <f>Données!X104</f>
        <v>513</v>
      </c>
      <c r="F104" s="361">
        <f t="shared" si="13"/>
        <v>0.98653846153846159</v>
      </c>
      <c r="G104" s="336">
        <f t="shared" si="14"/>
        <v>406.16577611541544</v>
      </c>
      <c r="H104" s="344">
        <f t="shared" si="20"/>
        <v>106.83422388458456</v>
      </c>
      <c r="I104" s="362">
        <f t="shared" si="21"/>
        <v>-11360</v>
      </c>
      <c r="J104" s="357"/>
      <c r="K104" s="363">
        <f>Données!Y104</f>
        <v>1</v>
      </c>
      <c r="L104" s="324">
        <f>Données!Z104</f>
        <v>0.23899999999999999</v>
      </c>
      <c r="M104" s="336">
        <f t="shared" si="15"/>
        <v>139.77126607319485</v>
      </c>
      <c r="N104" s="362">
        <f t="shared" si="16"/>
        <v>-140</v>
      </c>
      <c r="O104" s="357"/>
      <c r="P104" s="318">
        <f>Données!AA104</f>
        <v>54</v>
      </c>
      <c r="Q104" s="359">
        <f>Données!AB104</f>
        <v>43</v>
      </c>
      <c r="R104" s="302">
        <f t="shared" si="17"/>
        <v>60.45</v>
      </c>
      <c r="S104" s="364">
        <f t="shared" si="18"/>
        <v>0.11625000000000001</v>
      </c>
      <c r="T104" s="344">
        <f t="shared" si="19"/>
        <v>70.940005071580543</v>
      </c>
      <c r="U104" s="344">
        <f t="shared" si="22"/>
        <v>0</v>
      </c>
      <c r="V104" s="362">
        <f t="shared" si="23"/>
        <v>0</v>
      </c>
      <c r="W104" s="436"/>
      <c r="X104" s="302">
        <f t="shared" si="24"/>
        <v>0</v>
      </c>
      <c r="Y104" s="322">
        <f t="shared" si="25"/>
        <v>0</v>
      </c>
    </row>
    <row r="105" spans="1:25" x14ac:dyDescent="0.25">
      <c r="A105" s="148">
        <f>Données!A105</f>
        <v>5566</v>
      </c>
      <c r="B105" s="156" t="str">
        <f>Données!B105</f>
        <v>Provence</v>
      </c>
      <c r="C105" s="321">
        <f>Données!C105</f>
        <v>411</v>
      </c>
      <c r="D105" s="336"/>
      <c r="E105" s="318">
        <f>Données!X105</f>
        <v>3183</v>
      </c>
      <c r="F105" s="361">
        <f t="shared" si="13"/>
        <v>7.7445255474452557</v>
      </c>
      <c r="G105" s="336">
        <f t="shared" si="14"/>
        <v>321.0271807373764</v>
      </c>
      <c r="H105" s="344">
        <f t="shared" si="20"/>
        <v>2861.9728192626235</v>
      </c>
      <c r="I105" s="362">
        <f t="shared" si="21"/>
        <v>-304315</v>
      </c>
      <c r="J105" s="357"/>
      <c r="K105" s="363">
        <f>Données!Y105</f>
        <v>409</v>
      </c>
      <c r="L105" s="324">
        <f>Données!Z105</f>
        <v>9.9000000000000005E-2</v>
      </c>
      <c r="M105" s="336">
        <f t="shared" si="15"/>
        <v>57.896884272997042</v>
      </c>
      <c r="N105" s="362">
        <f t="shared" si="16"/>
        <v>-23680</v>
      </c>
      <c r="O105" s="357"/>
      <c r="P105" s="318">
        <f>Données!AA105</f>
        <v>37</v>
      </c>
      <c r="Q105" s="359">
        <f>Données!AB105</f>
        <v>37</v>
      </c>
      <c r="R105" s="302">
        <f t="shared" si="17"/>
        <v>42.55</v>
      </c>
      <c r="S105" s="364">
        <f t="shared" si="18"/>
        <v>0.1035279805352798</v>
      </c>
      <c r="T105" s="344">
        <f t="shared" si="19"/>
        <v>56.069888623883855</v>
      </c>
      <c r="U105" s="344">
        <f t="shared" si="22"/>
        <v>0</v>
      </c>
      <c r="V105" s="362">
        <f t="shared" si="23"/>
        <v>0</v>
      </c>
      <c r="W105" s="436"/>
      <c r="X105" s="302">
        <f t="shared" si="24"/>
        <v>0</v>
      </c>
      <c r="Y105" s="322">
        <f t="shared" si="25"/>
        <v>0</v>
      </c>
    </row>
    <row r="106" spans="1:25" x14ac:dyDescent="0.25">
      <c r="A106" s="148">
        <f>Données!A106</f>
        <v>5568</v>
      </c>
      <c r="B106" s="156" t="str">
        <f>Données!B106</f>
        <v>Sainte-Croix</v>
      </c>
      <c r="C106" s="321">
        <f>Données!C106</f>
        <v>5130</v>
      </c>
      <c r="D106" s="336"/>
      <c r="E106" s="318">
        <f>Données!X106</f>
        <v>3882</v>
      </c>
      <c r="F106" s="361">
        <f t="shared" si="13"/>
        <v>0.75672514619883036</v>
      </c>
      <c r="G106" s="336">
        <f t="shared" si="14"/>
        <v>4006.9815989847716</v>
      </c>
      <c r="H106" s="344">
        <f t="shared" si="20"/>
        <v>0</v>
      </c>
      <c r="I106" s="362">
        <f t="shared" si="21"/>
        <v>0</v>
      </c>
      <c r="J106" s="357"/>
      <c r="K106" s="363">
        <f>Données!Y106</f>
        <v>5121</v>
      </c>
      <c r="L106" s="324">
        <f>Données!Z106</f>
        <v>0.29599999999999999</v>
      </c>
      <c r="M106" s="336">
        <f t="shared" si="15"/>
        <v>173.10583580613255</v>
      </c>
      <c r="N106" s="362">
        <f t="shared" si="16"/>
        <v>-886475</v>
      </c>
      <c r="O106" s="357"/>
      <c r="P106" s="318">
        <f>Données!AA106</f>
        <v>468</v>
      </c>
      <c r="Q106" s="359">
        <f>Données!AB106</f>
        <v>102</v>
      </c>
      <c r="R106" s="302">
        <f t="shared" si="17"/>
        <v>483.3</v>
      </c>
      <c r="S106" s="364">
        <f t="shared" si="18"/>
        <v>9.4210526315789481E-2</v>
      </c>
      <c r="T106" s="344">
        <f t="shared" si="19"/>
        <v>699.85043464847729</v>
      </c>
      <c r="U106" s="344">
        <f t="shared" si="22"/>
        <v>0</v>
      </c>
      <c r="V106" s="362">
        <f t="shared" si="23"/>
        <v>0</v>
      </c>
      <c r="W106" s="436"/>
      <c r="X106" s="302">
        <f t="shared" si="24"/>
        <v>0</v>
      </c>
      <c r="Y106" s="322">
        <f t="shared" si="25"/>
        <v>0</v>
      </c>
    </row>
    <row r="107" spans="1:25" x14ac:dyDescent="0.25">
      <c r="A107" s="148">
        <f>Données!A107</f>
        <v>5571</v>
      </c>
      <c r="B107" s="156" t="str">
        <f>Données!B107</f>
        <v>Tévenon</v>
      </c>
      <c r="C107" s="321">
        <f>Données!C107</f>
        <v>861</v>
      </c>
      <c r="D107" s="336"/>
      <c r="E107" s="318">
        <f>Données!X107</f>
        <v>1431</v>
      </c>
      <c r="F107" s="361">
        <f t="shared" si="13"/>
        <v>1.6620209059233448</v>
      </c>
      <c r="G107" s="336">
        <f t="shared" si="14"/>
        <v>672.51679468340899</v>
      </c>
      <c r="H107" s="344">
        <f t="shared" si="20"/>
        <v>758.48320531659101</v>
      </c>
      <c r="I107" s="362">
        <f t="shared" si="21"/>
        <v>-80650</v>
      </c>
      <c r="J107" s="357"/>
      <c r="K107" s="363">
        <f>Données!Y107</f>
        <v>637</v>
      </c>
      <c r="L107" s="324">
        <f>Données!Z107</f>
        <v>0.23</v>
      </c>
      <c r="M107" s="336">
        <f t="shared" si="15"/>
        <v>134.50791295746788</v>
      </c>
      <c r="N107" s="362">
        <f t="shared" si="16"/>
        <v>-85682</v>
      </c>
      <c r="O107" s="357"/>
      <c r="P107" s="318">
        <f>Données!AA107</f>
        <v>118</v>
      </c>
      <c r="Q107" s="359">
        <f>Données!AB107</f>
        <v>116</v>
      </c>
      <c r="R107" s="302">
        <f t="shared" si="17"/>
        <v>135.4</v>
      </c>
      <c r="S107" s="364">
        <f t="shared" si="18"/>
        <v>0.1572590011614402</v>
      </c>
      <c r="T107" s="344">
        <f t="shared" si="19"/>
        <v>117.46027762813625</v>
      </c>
      <c r="U107" s="344">
        <f t="shared" si="22"/>
        <v>17.939722371863752</v>
      </c>
      <c r="V107" s="362">
        <f t="shared" si="23"/>
        <v>-76301</v>
      </c>
      <c r="W107" s="436"/>
      <c r="X107" s="302">
        <f t="shared" si="24"/>
        <v>-74005.934718100878</v>
      </c>
      <c r="Y107" s="322">
        <f t="shared" si="25"/>
        <v>-2295.0652818991221</v>
      </c>
    </row>
    <row r="108" spans="1:25" x14ac:dyDescent="0.25">
      <c r="A108" s="148">
        <f>Données!A108</f>
        <v>5581</v>
      </c>
      <c r="B108" s="156" t="str">
        <f>Données!B108</f>
        <v>Belmont-sur-Lausanne</v>
      </c>
      <c r="C108" s="321">
        <f>Données!C108</f>
        <v>3922</v>
      </c>
      <c r="D108" s="336"/>
      <c r="E108" s="318">
        <f>Données!X108</f>
        <v>261</v>
      </c>
      <c r="F108" s="361">
        <f t="shared" si="13"/>
        <v>6.6547679755226921E-2</v>
      </c>
      <c r="G108" s="336">
        <f t="shared" si="14"/>
        <v>3063.427257547422</v>
      </c>
      <c r="H108" s="344">
        <f t="shared" si="20"/>
        <v>0</v>
      </c>
      <c r="I108" s="362">
        <f t="shared" si="21"/>
        <v>0</v>
      </c>
      <c r="J108" s="357"/>
      <c r="K108" s="363">
        <f>Données!Y108</f>
        <v>272</v>
      </c>
      <c r="L108" s="324">
        <f>Données!Z108</f>
        <v>0.26300000000000001</v>
      </c>
      <c r="M108" s="336">
        <f t="shared" si="15"/>
        <v>153.80687438180021</v>
      </c>
      <c r="N108" s="362">
        <f t="shared" si="16"/>
        <v>-41835</v>
      </c>
      <c r="O108" s="357"/>
      <c r="P108" s="318">
        <f>Données!AA108</f>
        <v>465</v>
      </c>
      <c r="Q108" s="359">
        <f>Données!AB108</f>
        <v>112</v>
      </c>
      <c r="R108" s="302">
        <f t="shared" si="17"/>
        <v>481.8</v>
      </c>
      <c r="S108" s="364">
        <f t="shared" si="18"/>
        <v>0.1228454869964304</v>
      </c>
      <c r="T108" s="344">
        <f t="shared" si="19"/>
        <v>535.05134594372862</v>
      </c>
      <c r="U108" s="344">
        <f t="shared" si="22"/>
        <v>0</v>
      </c>
      <c r="V108" s="362">
        <f t="shared" si="23"/>
        <v>0</v>
      </c>
      <c r="W108" s="436"/>
      <c r="X108" s="302">
        <f t="shared" si="24"/>
        <v>0</v>
      </c>
      <c r="Y108" s="322">
        <f t="shared" si="25"/>
        <v>0</v>
      </c>
    </row>
    <row r="109" spans="1:25" x14ac:dyDescent="0.25">
      <c r="A109" s="148">
        <f>Données!A109</f>
        <v>5582</v>
      </c>
      <c r="B109" s="156" t="str">
        <f>Données!B109</f>
        <v>Cheseaux-sur-Lausanne</v>
      </c>
      <c r="C109" s="321">
        <f>Données!C109</f>
        <v>4855</v>
      </c>
      <c r="D109" s="336"/>
      <c r="E109" s="318">
        <f>Données!X109</f>
        <v>453</v>
      </c>
      <c r="F109" s="361">
        <f t="shared" si="13"/>
        <v>9.3305870236869204E-2</v>
      </c>
      <c r="G109" s="336">
        <f t="shared" si="14"/>
        <v>3792.1823904621961</v>
      </c>
      <c r="H109" s="344">
        <f t="shared" si="20"/>
        <v>0</v>
      </c>
      <c r="I109" s="362">
        <f t="shared" si="21"/>
        <v>0</v>
      </c>
      <c r="J109" s="357"/>
      <c r="K109" s="363">
        <f>Données!Y109</f>
        <v>0</v>
      </c>
      <c r="L109" s="324">
        <f>Données!Z109</f>
        <v>3.1E-2</v>
      </c>
      <c r="M109" s="336">
        <f t="shared" si="15"/>
        <v>18.129327398615235</v>
      </c>
      <c r="N109" s="362">
        <f t="shared" si="16"/>
        <v>0</v>
      </c>
      <c r="O109" s="357"/>
      <c r="P109" s="318">
        <f>Données!AA109</f>
        <v>533</v>
      </c>
      <c r="Q109" s="359">
        <f>Données!AB109</f>
        <v>32</v>
      </c>
      <c r="R109" s="302">
        <f t="shared" si="17"/>
        <v>537.79999999999995</v>
      </c>
      <c r="S109" s="364">
        <f t="shared" si="18"/>
        <v>0.11077239958805354</v>
      </c>
      <c r="T109" s="344">
        <f t="shared" si="19"/>
        <v>662.33408581254537</v>
      </c>
      <c r="U109" s="344">
        <f t="shared" si="22"/>
        <v>0</v>
      </c>
      <c r="V109" s="362">
        <f t="shared" si="23"/>
        <v>0</v>
      </c>
      <c r="W109" s="436"/>
      <c r="X109" s="302">
        <f t="shared" si="24"/>
        <v>0</v>
      </c>
      <c r="Y109" s="322">
        <f t="shared" si="25"/>
        <v>0</v>
      </c>
    </row>
    <row r="110" spans="1:25" x14ac:dyDescent="0.25">
      <c r="A110" s="148">
        <f>Données!A110</f>
        <v>5583</v>
      </c>
      <c r="B110" s="156" t="str">
        <f>Données!B110</f>
        <v>Crissier</v>
      </c>
      <c r="C110" s="321">
        <f>Données!C110</f>
        <v>10680</v>
      </c>
      <c r="D110" s="336"/>
      <c r="E110" s="318">
        <f>Données!X110</f>
        <v>550</v>
      </c>
      <c r="F110" s="361">
        <f t="shared" si="13"/>
        <v>5.1498127340823971E-2</v>
      </c>
      <c r="G110" s="336">
        <f t="shared" si="14"/>
        <v>8342.0201709858393</v>
      </c>
      <c r="H110" s="344">
        <f t="shared" si="20"/>
        <v>0</v>
      </c>
      <c r="I110" s="362">
        <f t="shared" si="21"/>
        <v>0</v>
      </c>
      <c r="J110" s="357"/>
      <c r="K110" s="363">
        <f>Données!Y110</f>
        <v>0</v>
      </c>
      <c r="L110" s="324">
        <f>Données!Z110</f>
        <v>0.109</v>
      </c>
      <c r="M110" s="336">
        <f t="shared" si="15"/>
        <v>63.745054401582593</v>
      </c>
      <c r="N110" s="362">
        <f t="shared" si="16"/>
        <v>0</v>
      </c>
      <c r="O110" s="357"/>
      <c r="P110" s="318">
        <f>Données!AA110</f>
        <v>1151</v>
      </c>
      <c r="Q110" s="359">
        <f>Données!AB110</f>
        <v>46</v>
      </c>
      <c r="R110" s="302">
        <f t="shared" si="17"/>
        <v>1157.9000000000001</v>
      </c>
      <c r="S110" s="364">
        <f t="shared" si="18"/>
        <v>0.10841760299625469</v>
      </c>
      <c r="T110" s="344">
        <f t="shared" si="19"/>
        <v>1456.9985657009236</v>
      </c>
      <c r="U110" s="344">
        <f t="shared" si="22"/>
        <v>0</v>
      </c>
      <c r="V110" s="362">
        <f t="shared" si="23"/>
        <v>0</v>
      </c>
      <c r="W110" s="436"/>
      <c r="X110" s="302">
        <f t="shared" si="24"/>
        <v>0</v>
      </c>
      <c r="Y110" s="322">
        <f t="shared" si="25"/>
        <v>0</v>
      </c>
    </row>
    <row r="111" spans="1:25" x14ac:dyDescent="0.25">
      <c r="A111" s="148">
        <f>Données!A111</f>
        <v>5584</v>
      </c>
      <c r="B111" s="156" t="str">
        <f>Données!B111</f>
        <v>Epalinges</v>
      </c>
      <c r="C111" s="321">
        <f>Données!C111</f>
        <v>9905</v>
      </c>
      <c r="D111" s="336"/>
      <c r="E111" s="318">
        <f>Données!X111</f>
        <v>460</v>
      </c>
      <c r="F111" s="361">
        <f t="shared" si="13"/>
        <v>4.6441191317516409E-2</v>
      </c>
      <c r="G111" s="336">
        <f t="shared" si="14"/>
        <v>7736.6769469676728</v>
      </c>
      <c r="H111" s="344">
        <f t="shared" si="20"/>
        <v>0</v>
      </c>
      <c r="I111" s="362">
        <f t="shared" si="21"/>
        <v>0</v>
      </c>
      <c r="J111" s="357"/>
      <c r="K111" s="363">
        <f>Données!Y111</f>
        <v>6560</v>
      </c>
      <c r="L111" s="324">
        <f>Données!Z111</f>
        <v>0.17499999999999999</v>
      </c>
      <c r="M111" s="336">
        <f t="shared" si="15"/>
        <v>102.34297725024729</v>
      </c>
      <c r="N111" s="362">
        <f t="shared" si="16"/>
        <v>-671370</v>
      </c>
      <c r="O111" s="357"/>
      <c r="P111" s="318">
        <f>Données!AA111</f>
        <v>1158</v>
      </c>
      <c r="Q111" s="359">
        <f>Données!AB111</f>
        <v>152</v>
      </c>
      <c r="R111" s="302">
        <f t="shared" si="17"/>
        <v>1180.8</v>
      </c>
      <c r="S111" s="364">
        <f t="shared" si="18"/>
        <v>0.11921251892983341</v>
      </c>
      <c r="T111" s="344">
        <f t="shared" si="19"/>
        <v>1351.2706735269333</v>
      </c>
      <c r="U111" s="344">
        <f t="shared" si="22"/>
        <v>0</v>
      </c>
      <c r="V111" s="362">
        <f t="shared" si="23"/>
        <v>0</v>
      </c>
      <c r="W111" s="436"/>
      <c r="X111" s="302">
        <f t="shared" si="24"/>
        <v>0</v>
      </c>
      <c r="Y111" s="322">
        <f t="shared" si="25"/>
        <v>0</v>
      </c>
    </row>
    <row r="112" spans="1:25" x14ac:dyDescent="0.25">
      <c r="A112" s="148">
        <f>Données!A112</f>
        <v>5585</v>
      </c>
      <c r="B112" s="156" t="str">
        <f>Données!B112</f>
        <v>Jouxtens-Mézery</v>
      </c>
      <c r="C112" s="321">
        <f>Données!C112</f>
        <v>1482</v>
      </c>
      <c r="D112" s="336"/>
      <c r="E112" s="318">
        <f>Données!X112</f>
        <v>191</v>
      </c>
      <c r="F112" s="361">
        <f t="shared" si="13"/>
        <v>0.12887989203778677</v>
      </c>
      <c r="G112" s="336">
        <f t="shared" si="14"/>
        <v>1157.572461928934</v>
      </c>
      <c r="H112" s="344">
        <f t="shared" si="20"/>
        <v>0</v>
      </c>
      <c r="I112" s="362">
        <f t="shared" si="21"/>
        <v>0</v>
      </c>
      <c r="J112" s="357"/>
      <c r="K112" s="363">
        <f>Données!Y112</f>
        <v>0</v>
      </c>
      <c r="L112" s="324">
        <f>Données!Z112</f>
        <v>9.9000000000000005E-2</v>
      </c>
      <c r="M112" s="336">
        <f t="shared" si="15"/>
        <v>57.896884272997042</v>
      </c>
      <c r="N112" s="362">
        <f t="shared" si="16"/>
        <v>0</v>
      </c>
      <c r="O112" s="357"/>
      <c r="P112" s="318">
        <f>Données!AA112</f>
        <v>155</v>
      </c>
      <c r="Q112" s="359">
        <f>Données!AB112</f>
        <v>29</v>
      </c>
      <c r="R112" s="302">
        <f t="shared" si="17"/>
        <v>159.35</v>
      </c>
      <c r="S112" s="364">
        <f t="shared" si="18"/>
        <v>0.10752361673414304</v>
      </c>
      <c r="T112" s="344">
        <f t="shared" si="19"/>
        <v>202.17901445400457</v>
      </c>
      <c r="U112" s="344">
        <f t="shared" si="22"/>
        <v>0</v>
      </c>
      <c r="V112" s="362">
        <f t="shared" si="23"/>
        <v>0</v>
      </c>
      <c r="W112" s="436"/>
      <c r="X112" s="302">
        <f t="shared" si="24"/>
        <v>0</v>
      </c>
      <c r="Y112" s="322">
        <f t="shared" si="25"/>
        <v>0</v>
      </c>
    </row>
    <row r="113" spans="1:25" x14ac:dyDescent="0.25">
      <c r="A113" s="148">
        <f>Données!A113</f>
        <v>5586</v>
      </c>
      <c r="B113" s="156" t="str">
        <f>Données!B113</f>
        <v>Lausanne</v>
      </c>
      <c r="C113" s="321">
        <f>Données!C113</f>
        <v>145037</v>
      </c>
      <c r="D113" s="336"/>
      <c r="E113" s="318">
        <f>Données!X113</f>
        <v>4127</v>
      </c>
      <c r="F113" s="361">
        <f t="shared" si="13"/>
        <v>2.8454808083454568E-2</v>
      </c>
      <c r="G113" s="336">
        <f t="shared" si="14"/>
        <v>113286.66475086828</v>
      </c>
      <c r="H113" s="344">
        <f t="shared" si="20"/>
        <v>0</v>
      </c>
      <c r="I113" s="362">
        <f t="shared" si="21"/>
        <v>0</v>
      </c>
      <c r="J113" s="357"/>
      <c r="K113" s="363">
        <f>Données!Y113</f>
        <v>3997</v>
      </c>
      <c r="L113" s="324">
        <f>Données!Z113</f>
        <v>0.106</v>
      </c>
      <c r="M113" s="336">
        <f t="shared" si="15"/>
        <v>61.990603363006926</v>
      </c>
      <c r="N113" s="362">
        <f t="shared" si="16"/>
        <v>-247776</v>
      </c>
      <c r="O113" s="357"/>
      <c r="P113" s="318">
        <f>Données!AA113</f>
        <v>14340</v>
      </c>
      <c r="Q113" s="359">
        <f>Données!AB113</f>
        <v>817</v>
      </c>
      <c r="R113" s="302">
        <f t="shared" si="17"/>
        <v>14462.55</v>
      </c>
      <c r="S113" s="364">
        <f t="shared" si="18"/>
        <v>9.9716279294249047E-2</v>
      </c>
      <c r="T113" s="344">
        <f t="shared" si="19"/>
        <v>19786.3952222439</v>
      </c>
      <c r="U113" s="344">
        <f t="shared" si="22"/>
        <v>0</v>
      </c>
      <c r="V113" s="362">
        <f t="shared" si="23"/>
        <v>0</v>
      </c>
      <c r="W113" s="436"/>
      <c r="X113" s="302">
        <f t="shared" si="24"/>
        <v>0</v>
      </c>
      <c r="Y113" s="322">
        <f t="shared" si="25"/>
        <v>0</v>
      </c>
    </row>
    <row r="114" spans="1:25" x14ac:dyDescent="0.25">
      <c r="A114" s="148">
        <f>Données!A114</f>
        <v>5587</v>
      </c>
      <c r="B114" s="156" t="str">
        <f>Données!B114</f>
        <v>Le Mont-sur-Lausanne</v>
      </c>
      <c r="C114" s="321">
        <f>Données!C114</f>
        <v>9543</v>
      </c>
      <c r="D114" s="336"/>
      <c r="E114" s="318">
        <f>Données!X114</f>
        <v>971</v>
      </c>
      <c r="F114" s="361">
        <f t="shared" si="13"/>
        <v>0.10174997380278739</v>
      </c>
      <c r="G114" s="336">
        <f t="shared" si="14"/>
        <v>7453.9230797488644</v>
      </c>
      <c r="H114" s="344">
        <f t="shared" si="20"/>
        <v>0</v>
      </c>
      <c r="I114" s="362">
        <f t="shared" si="21"/>
        <v>0</v>
      </c>
      <c r="J114" s="357"/>
      <c r="K114" s="363">
        <f>Données!Y114</f>
        <v>614</v>
      </c>
      <c r="L114" s="324">
        <f>Données!Z114</f>
        <v>8.5000000000000006E-2</v>
      </c>
      <c r="M114" s="336">
        <f t="shared" si="15"/>
        <v>49.709446092977259</v>
      </c>
      <c r="N114" s="362">
        <f t="shared" si="16"/>
        <v>-30522</v>
      </c>
      <c r="O114" s="357"/>
      <c r="P114" s="318">
        <f>Données!AA114</f>
        <v>1259</v>
      </c>
      <c r="Q114" s="359">
        <f>Données!AB114</f>
        <v>72</v>
      </c>
      <c r="R114" s="302">
        <f t="shared" si="17"/>
        <v>1269.8</v>
      </c>
      <c r="S114" s="364">
        <f t="shared" si="18"/>
        <v>0.13306088232212093</v>
      </c>
      <c r="T114" s="344">
        <f t="shared" si="19"/>
        <v>1301.8855161501792</v>
      </c>
      <c r="U114" s="344">
        <f t="shared" si="22"/>
        <v>0</v>
      </c>
      <c r="V114" s="362">
        <f t="shared" si="23"/>
        <v>0</v>
      </c>
      <c r="W114" s="436"/>
      <c r="X114" s="302">
        <f t="shared" si="24"/>
        <v>0</v>
      </c>
      <c r="Y114" s="322">
        <f t="shared" si="25"/>
        <v>0</v>
      </c>
    </row>
    <row r="115" spans="1:25" x14ac:dyDescent="0.25">
      <c r="A115" s="148">
        <f>Données!A115</f>
        <v>5588</v>
      </c>
      <c r="B115" s="156" t="str">
        <f>Données!B115</f>
        <v>Paudex</v>
      </c>
      <c r="C115" s="321">
        <f>Données!C115</f>
        <v>1512</v>
      </c>
      <c r="D115" s="336"/>
      <c r="E115" s="318">
        <f>Données!X115</f>
        <v>50</v>
      </c>
      <c r="F115" s="361">
        <f t="shared" si="13"/>
        <v>3.3068783068783067E-2</v>
      </c>
      <c r="G115" s="336">
        <f t="shared" si="14"/>
        <v>1181.0051028586695</v>
      </c>
      <c r="H115" s="344">
        <f t="shared" si="20"/>
        <v>0</v>
      </c>
      <c r="I115" s="362">
        <f t="shared" si="21"/>
        <v>0</v>
      </c>
      <c r="J115" s="357"/>
      <c r="K115" s="363">
        <f>Données!Y115</f>
        <v>0</v>
      </c>
      <c r="L115" s="324">
        <f>Données!Z115</f>
        <v>0.248</v>
      </c>
      <c r="M115" s="336">
        <f t="shared" si="15"/>
        <v>145.03461918892188</v>
      </c>
      <c r="N115" s="362">
        <f t="shared" si="16"/>
        <v>0</v>
      </c>
      <c r="O115" s="357"/>
      <c r="P115" s="318">
        <f>Données!AA115</f>
        <v>140</v>
      </c>
      <c r="Q115" s="359">
        <f>Données!AB115</f>
        <v>5</v>
      </c>
      <c r="R115" s="302">
        <f t="shared" si="17"/>
        <v>140.75</v>
      </c>
      <c r="S115" s="364">
        <f t="shared" si="18"/>
        <v>9.3088624338624332E-2</v>
      </c>
      <c r="T115" s="344">
        <f t="shared" si="19"/>
        <v>206.27170705428804</v>
      </c>
      <c r="U115" s="344">
        <f t="shared" si="22"/>
        <v>0</v>
      </c>
      <c r="V115" s="362">
        <f t="shared" si="23"/>
        <v>0</v>
      </c>
      <c r="W115" s="436"/>
      <c r="X115" s="302">
        <f t="shared" si="24"/>
        <v>0</v>
      </c>
      <c r="Y115" s="322">
        <f t="shared" si="25"/>
        <v>0</v>
      </c>
    </row>
    <row r="116" spans="1:25" x14ac:dyDescent="0.25">
      <c r="A116" s="148">
        <f>Données!A116</f>
        <v>5589</v>
      </c>
      <c r="B116" s="156" t="str">
        <f>Données!B116</f>
        <v>Prilly</v>
      </c>
      <c r="C116" s="321">
        <f>Données!C116</f>
        <v>12766</v>
      </c>
      <c r="D116" s="336"/>
      <c r="E116" s="318">
        <f>Données!X116</f>
        <v>219</v>
      </c>
      <c r="F116" s="361">
        <f t="shared" si="13"/>
        <v>1.7154942816857276E-2</v>
      </c>
      <c r="G116" s="336">
        <f t="shared" si="14"/>
        <v>9971.3698036334481</v>
      </c>
      <c r="H116" s="344">
        <f t="shared" si="20"/>
        <v>0</v>
      </c>
      <c r="I116" s="362">
        <f t="shared" si="21"/>
        <v>0</v>
      </c>
      <c r="J116" s="357"/>
      <c r="K116" s="363">
        <f>Données!Y116</f>
        <v>0</v>
      </c>
      <c r="L116" s="324">
        <f>Données!Z116</f>
        <v>9.4E-2</v>
      </c>
      <c r="M116" s="336">
        <f t="shared" si="15"/>
        <v>54.972799208704259</v>
      </c>
      <c r="N116" s="362">
        <f t="shared" si="16"/>
        <v>0</v>
      </c>
      <c r="O116" s="357"/>
      <c r="P116" s="318">
        <f>Données!AA116</f>
        <v>1305</v>
      </c>
      <c r="Q116" s="359">
        <f>Données!AB116</f>
        <v>21</v>
      </c>
      <c r="R116" s="302">
        <f t="shared" si="17"/>
        <v>1308.1500000000001</v>
      </c>
      <c r="S116" s="364">
        <f t="shared" si="18"/>
        <v>0.10247140842863858</v>
      </c>
      <c r="T116" s="344">
        <f t="shared" si="19"/>
        <v>1741.5771245073024</v>
      </c>
      <c r="U116" s="344">
        <f t="shared" si="22"/>
        <v>0</v>
      </c>
      <c r="V116" s="362">
        <f t="shared" si="23"/>
        <v>0</v>
      </c>
      <c r="W116" s="436"/>
      <c r="X116" s="302">
        <f t="shared" si="24"/>
        <v>0</v>
      </c>
      <c r="Y116" s="322">
        <f t="shared" si="25"/>
        <v>0</v>
      </c>
    </row>
    <row r="117" spans="1:25" x14ac:dyDescent="0.25">
      <c r="A117" s="148">
        <f>Données!A117</f>
        <v>5590</v>
      </c>
      <c r="B117" s="156" t="str">
        <f>Données!B117</f>
        <v>Pully</v>
      </c>
      <c r="C117" s="321">
        <f>Données!C117</f>
        <v>19545</v>
      </c>
      <c r="D117" s="336"/>
      <c r="E117" s="318">
        <f>Données!X117</f>
        <v>589</v>
      </c>
      <c r="F117" s="361">
        <f t="shared" si="13"/>
        <v>3.0135584548477871E-2</v>
      </c>
      <c r="G117" s="336">
        <f t="shared" si="14"/>
        <v>15266.365565722681</v>
      </c>
      <c r="H117" s="344">
        <f t="shared" si="20"/>
        <v>0</v>
      </c>
      <c r="I117" s="362">
        <f t="shared" si="21"/>
        <v>0</v>
      </c>
      <c r="J117" s="357"/>
      <c r="K117" s="363">
        <f>Données!Y117</f>
        <v>44</v>
      </c>
      <c r="L117" s="324">
        <f>Données!Z117</f>
        <v>0.193</v>
      </c>
      <c r="M117" s="336">
        <f t="shared" si="15"/>
        <v>112.8696834817013</v>
      </c>
      <c r="N117" s="362">
        <f t="shared" si="16"/>
        <v>-4966</v>
      </c>
      <c r="O117" s="357"/>
      <c r="P117" s="318">
        <f>Données!AA117</f>
        <v>1853</v>
      </c>
      <c r="Q117" s="359">
        <f>Données!AB117</f>
        <v>51</v>
      </c>
      <c r="R117" s="302">
        <f t="shared" si="17"/>
        <v>1860.65</v>
      </c>
      <c r="S117" s="364">
        <f t="shared" si="18"/>
        <v>9.5198260424661049E-2</v>
      </c>
      <c r="T117" s="344">
        <f t="shared" si="19"/>
        <v>2666.3892290846957</v>
      </c>
      <c r="U117" s="344">
        <f t="shared" si="22"/>
        <v>0</v>
      </c>
      <c r="V117" s="362">
        <f t="shared" si="23"/>
        <v>0</v>
      </c>
      <c r="W117" s="436"/>
      <c r="X117" s="302">
        <f t="shared" si="24"/>
        <v>0</v>
      </c>
      <c r="Y117" s="322">
        <f t="shared" si="25"/>
        <v>0</v>
      </c>
    </row>
    <row r="118" spans="1:25" x14ac:dyDescent="0.25">
      <c r="A118" s="148">
        <f>Données!A118</f>
        <v>5591</v>
      </c>
      <c r="B118" s="156" t="str">
        <f>Données!B118</f>
        <v>Renens</v>
      </c>
      <c r="C118" s="321">
        <f>Données!C118</f>
        <v>21568</v>
      </c>
      <c r="D118" s="336"/>
      <c r="E118" s="318">
        <f>Données!X118</f>
        <v>295</v>
      </c>
      <c r="F118" s="361">
        <f t="shared" si="13"/>
        <v>1.3677670623145401E-2</v>
      </c>
      <c r="G118" s="336">
        <f t="shared" si="14"/>
        <v>16846.506652417847</v>
      </c>
      <c r="H118" s="344">
        <f t="shared" si="20"/>
        <v>0</v>
      </c>
      <c r="I118" s="362">
        <f t="shared" si="21"/>
        <v>0</v>
      </c>
      <c r="J118" s="357"/>
      <c r="K118" s="363">
        <f>Données!Y118</f>
        <v>0</v>
      </c>
      <c r="L118" s="324">
        <f>Données!Z118</f>
        <v>6.2E-2</v>
      </c>
      <c r="M118" s="336">
        <f t="shared" si="15"/>
        <v>36.25865479723047</v>
      </c>
      <c r="N118" s="362">
        <f t="shared" si="16"/>
        <v>0</v>
      </c>
      <c r="O118" s="357"/>
      <c r="P118" s="318">
        <f>Données!AA118</f>
        <v>2290</v>
      </c>
      <c r="Q118" s="359">
        <f>Données!AB118</f>
        <v>25</v>
      </c>
      <c r="R118" s="302">
        <f t="shared" si="17"/>
        <v>2293.75</v>
      </c>
      <c r="S118" s="364">
        <f t="shared" si="18"/>
        <v>0.10634968471810088</v>
      </c>
      <c r="T118" s="344">
        <f t="shared" si="19"/>
        <v>2942.3731334304794</v>
      </c>
      <c r="U118" s="344">
        <f t="shared" si="22"/>
        <v>0</v>
      </c>
      <c r="V118" s="362">
        <f t="shared" si="23"/>
        <v>0</v>
      </c>
      <c r="W118" s="436"/>
      <c r="X118" s="302">
        <f t="shared" si="24"/>
        <v>0</v>
      </c>
      <c r="Y118" s="322">
        <f t="shared" si="25"/>
        <v>0</v>
      </c>
    </row>
    <row r="119" spans="1:25" x14ac:dyDescent="0.25">
      <c r="A119" s="148">
        <f>Données!A119</f>
        <v>5592</v>
      </c>
      <c r="B119" s="156" t="str">
        <f>Données!B119</f>
        <v>Romanel-sur-Lausanne</v>
      </c>
      <c r="C119" s="321">
        <f>Données!C119</f>
        <v>4325</v>
      </c>
      <c r="D119" s="336"/>
      <c r="E119" s="318">
        <f>Données!X119</f>
        <v>290</v>
      </c>
      <c r="F119" s="361">
        <f t="shared" si="13"/>
        <v>6.7052023121387277E-2</v>
      </c>
      <c r="G119" s="336">
        <f t="shared" si="14"/>
        <v>3378.2057340368688</v>
      </c>
      <c r="H119" s="344">
        <f t="shared" si="20"/>
        <v>0</v>
      </c>
      <c r="I119" s="362">
        <f t="shared" si="21"/>
        <v>0</v>
      </c>
      <c r="J119" s="357"/>
      <c r="K119" s="363">
        <f>Données!Y119</f>
        <v>0</v>
      </c>
      <c r="L119" s="324">
        <f>Données!Z119</f>
        <v>3.4000000000000002E-2</v>
      </c>
      <c r="M119" s="336">
        <f t="shared" si="15"/>
        <v>19.883778437190902</v>
      </c>
      <c r="N119" s="362">
        <f t="shared" si="16"/>
        <v>0</v>
      </c>
      <c r="O119" s="357"/>
      <c r="P119" s="318">
        <f>Données!AA119</f>
        <v>461</v>
      </c>
      <c r="Q119" s="359">
        <f>Données!AB119</f>
        <v>201</v>
      </c>
      <c r="R119" s="302">
        <f t="shared" si="17"/>
        <v>491.15</v>
      </c>
      <c r="S119" s="364">
        <f t="shared" si="18"/>
        <v>0.1135606936416185</v>
      </c>
      <c r="T119" s="344">
        <f t="shared" si="19"/>
        <v>590.02984987420359</v>
      </c>
      <c r="U119" s="344">
        <f t="shared" si="22"/>
        <v>0</v>
      </c>
      <c r="V119" s="362">
        <f t="shared" si="23"/>
        <v>0</v>
      </c>
      <c r="W119" s="436"/>
      <c r="X119" s="302">
        <f t="shared" si="24"/>
        <v>0</v>
      </c>
      <c r="Y119" s="322">
        <f t="shared" si="25"/>
        <v>0</v>
      </c>
    </row>
    <row r="120" spans="1:25" x14ac:dyDescent="0.25">
      <c r="A120" s="148">
        <f>Données!A120</f>
        <v>5601</v>
      </c>
      <c r="B120" s="156" t="str">
        <f>Données!B120</f>
        <v>Chexbres</v>
      </c>
      <c r="C120" s="321">
        <f>Données!C120</f>
        <v>2263</v>
      </c>
      <c r="D120" s="336"/>
      <c r="E120" s="318">
        <f>Données!X120</f>
        <v>218</v>
      </c>
      <c r="F120" s="361">
        <f t="shared" si="13"/>
        <v>9.6332302253645599E-2</v>
      </c>
      <c r="G120" s="336">
        <f t="shared" si="14"/>
        <v>1767.6022141330484</v>
      </c>
      <c r="H120" s="344">
        <f t="shared" si="20"/>
        <v>0</v>
      </c>
      <c r="I120" s="362">
        <f t="shared" si="21"/>
        <v>0</v>
      </c>
      <c r="J120" s="357"/>
      <c r="K120" s="363">
        <f>Données!Y120</f>
        <v>0</v>
      </c>
      <c r="L120" s="324">
        <f>Données!Z120</f>
        <v>0.216</v>
      </c>
      <c r="M120" s="336">
        <f t="shared" si="15"/>
        <v>126.32047477744808</v>
      </c>
      <c r="N120" s="362">
        <f t="shared" si="16"/>
        <v>0</v>
      </c>
      <c r="O120" s="357"/>
      <c r="P120" s="318">
        <f>Données!AA120</f>
        <v>232</v>
      </c>
      <c r="Q120" s="359">
        <f>Données!AB120</f>
        <v>13</v>
      </c>
      <c r="R120" s="302">
        <f t="shared" si="17"/>
        <v>233.95</v>
      </c>
      <c r="S120" s="364">
        <f t="shared" si="18"/>
        <v>0.10338046840477243</v>
      </c>
      <c r="T120" s="344">
        <f t="shared" si="19"/>
        <v>308.72544514805151</v>
      </c>
      <c r="U120" s="344">
        <f t="shared" si="22"/>
        <v>0</v>
      </c>
      <c r="V120" s="362">
        <f t="shared" si="23"/>
        <v>0</v>
      </c>
      <c r="W120" s="436"/>
      <c r="X120" s="302">
        <f t="shared" si="24"/>
        <v>0</v>
      </c>
      <c r="Y120" s="322">
        <f t="shared" si="25"/>
        <v>0</v>
      </c>
    </row>
    <row r="121" spans="1:25" x14ac:dyDescent="0.25">
      <c r="A121" s="148">
        <f>Données!A121</f>
        <v>5604</v>
      </c>
      <c r="B121" s="156" t="str">
        <f>Données!B121</f>
        <v>Forel (Lavaux)</v>
      </c>
      <c r="C121" s="321">
        <f>Données!C121</f>
        <v>2088</v>
      </c>
      <c r="D121" s="336"/>
      <c r="E121" s="318">
        <f>Données!X121</f>
        <v>1845</v>
      </c>
      <c r="F121" s="361">
        <f t="shared" si="13"/>
        <v>0.88362068965517238</v>
      </c>
      <c r="G121" s="336">
        <f t="shared" si="14"/>
        <v>1630.9118087095912</v>
      </c>
      <c r="H121" s="344">
        <f t="shared" si="20"/>
        <v>214.08819129040876</v>
      </c>
      <c r="I121" s="362">
        <f t="shared" si="21"/>
        <v>-22764</v>
      </c>
      <c r="J121" s="357"/>
      <c r="K121" s="363">
        <f>Données!Y121</f>
        <v>786</v>
      </c>
      <c r="L121" s="324">
        <f>Données!Z121</f>
        <v>6.5000000000000002E-2</v>
      </c>
      <c r="M121" s="336">
        <f t="shared" si="15"/>
        <v>38.013105835806137</v>
      </c>
      <c r="N121" s="362">
        <f t="shared" si="16"/>
        <v>-29878</v>
      </c>
      <c r="O121" s="357"/>
      <c r="P121" s="318">
        <f>Données!AA121</f>
        <v>260</v>
      </c>
      <c r="Q121" s="359">
        <f>Données!AB121</f>
        <v>151</v>
      </c>
      <c r="R121" s="302">
        <f t="shared" si="17"/>
        <v>282.64999999999998</v>
      </c>
      <c r="S121" s="364">
        <f t="shared" si="18"/>
        <v>0.13536877394636015</v>
      </c>
      <c r="T121" s="344">
        <f t="shared" si="19"/>
        <v>284.85140497973111</v>
      </c>
      <c r="U121" s="344">
        <f t="shared" si="22"/>
        <v>0</v>
      </c>
      <c r="V121" s="362">
        <f t="shared" si="23"/>
        <v>0</v>
      </c>
      <c r="W121" s="436"/>
      <c r="X121" s="302">
        <f t="shared" si="24"/>
        <v>0</v>
      </c>
      <c r="Y121" s="322">
        <f t="shared" si="25"/>
        <v>0</v>
      </c>
    </row>
    <row r="122" spans="1:25" x14ac:dyDescent="0.25">
      <c r="A122" s="148">
        <f>Données!A122</f>
        <v>5606</v>
      </c>
      <c r="B122" s="156" t="str">
        <f>Données!B122</f>
        <v>Lutry</v>
      </c>
      <c r="C122" s="321">
        <f>Données!C122</f>
        <v>10750</v>
      </c>
      <c r="D122" s="336"/>
      <c r="E122" s="318">
        <f>Données!X122</f>
        <v>838</v>
      </c>
      <c r="F122" s="361">
        <f t="shared" si="13"/>
        <v>7.7953488372093024E-2</v>
      </c>
      <c r="G122" s="336">
        <f t="shared" si="14"/>
        <v>8396.6963331552233</v>
      </c>
      <c r="H122" s="344">
        <f t="shared" si="20"/>
        <v>0</v>
      </c>
      <c r="I122" s="362">
        <f t="shared" si="21"/>
        <v>0</v>
      </c>
      <c r="J122" s="357"/>
      <c r="K122" s="363">
        <f>Données!Y122</f>
        <v>75</v>
      </c>
      <c r="L122" s="324">
        <f>Données!Z122</f>
        <v>0.16200000000000001</v>
      </c>
      <c r="M122" s="336">
        <f t="shared" si="15"/>
        <v>94.74035608308607</v>
      </c>
      <c r="N122" s="362">
        <f t="shared" si="16"/>
        <v>-7106</v>
      </c>
      <c r="O122" s="357"/>
      <c r="P122" s="318">
        <f>Données!AA122</f>
        <v>1015</v>
      </c>
      <c r="Q122" s="359">
        <f>Données!AB122</f>
        <v>180</v>
      </c>
      <c r="R122" s="302">
        <f t="shared" si="17"/>
        <v>1042</v>
      </c>
      <c r="S122" s="364">
        <f t="shared" si="18"/>
        <v>9.693023255813954E-2</v>
      </c>
      <c r="T122" s="344">
        <f t="shared" si="19"/>
        <v>1466.5481817682517</v>
      </c>
      <c r="U122" s="344">
        <f t="shared" si="22"/>
        <v>0</v>
      </c>
      <c r="V122" s="362">
        <f t="shared" si="23"/>
        <v>0</v>
      </c>
      <c r="W122" s="436"/>
      <c r="X122" s="302">
        <f t="shared" si="24"/>
        <v>0</v>
      </c>
      <c r="Y122" s="322">
        <f t="shared" si="25"/>
        <v>0</v>
      </c>
    </row>
    <row r="123" spans="1:25" x14ac:dyDescent="0.25">
      <c r="A123" s="148">
        <f>Données!A123</f>
        <v>5607</v>
      </c>
      <c r="B123" s="156" t="str">
        <f>Données!B123</f>
        <v>Puidoux</v>
      </c>
      <c r="C123" s="321">
        <f>Données!C123</f>
        <v>2976</v>
      </c>
      <c r="D123" s="336"/>
      <c r="E123" s="318">
        <f>Données!X123</f>
        <v>2223</v>
      </c>
      <c r="F123" s="361">
        <f t="shared" si="13"/>
        <v>0.74697580645161288</v>
      </c>
      <c r="G123" s="336">
        <f t="shared" si="14"/>
        <v>2324.5179802297621</v>
      </c>
      <c r="H123" s="344">
        <f t="shared" si="20"/>
        <v>0</v>
      </c>
      <c r="I123" s="362">
        <f t="shared" si="21"/>
        <v>0</v>
      </c>
      <c r="J123" s="357"/>
      <c r="K123" s="363">
        <f>Données!Y123</f>
        <v>129</v>
      </c>
      <c r="L123" s="324">
        <f>Données!Z123</f>
        <v>0.17299999999999999</v>
      </c>
      <c r="M123" s="336">
        <f t="shared" si="15"/>
        <v>101.17334322453017</v>
      </c>
      <c r="N123" s="362">
        <f t="shared" si="16"/>
        <v>-13051</v>
      </c>
      <c r="O123" s="357"/>
      <c r="P123" s="318">
        <f>Données!AA123</f>
        <v>334</v>
      </c>
      <c r="Q123" s="359">
        <f>Données!AB123</f>
        <v>99</v>
      </c>
      <c r="R123" s="302">
        <f t="shared" si="17"/>
        <v>348.85</v>
      </c>
      <c r="S123" s="364">
        <f t="shared" si="18"/>
        <v>0.11722110215053765</v>
      </c>
      <c r="T123" s="344">
        <f t="shared" si="19"/>
        <v>405.9951059481225</v>
      </c>
      <c r="U123" s="344">
        <f t="shared" si="22"/>
        <v>0</v>
      </c>
      <c r="V123" s="362">
        <f t="shared" si="23"/>
        <v>0</v>
      </c>
      <c r="W123" s="436"/>
      <c r="X123" s="302">
        <f t="shared" si="24"/>
        <v>0</v>
      </c>
      <c r="Y123" s="322">
        <f t="shared" si="25"/>
        <v>0</v>
      </c>
    </row>
    <row r="124" spans="1:25" x14ac:dyDescent="0.25">
      <c r="A124" s="148">
        <f>Données!A124</f>
        <v>5609</v>
      </c>
      <c r="B124" s="156" t="str">
        <f>Données!B124</f>
        <v>Rivaz</v>
      </c>
      <c r="C124" s="321">
        <f>Données!C124</f>
        <v>329</v>
      </c>
      <c r="D124" s="336"/>
      <c r="E124" s="318">
        <f>Données!X124</f>
        <v>29</v>
      </c>
      <c r="F124" s="361">
        <f t="shared" si="13"/>
        <v>8.8145896656534953E-2</v>
      </c>
      <c r="G124" s="336">
        <f t="shared" si="14"/>
        <v>256.97796219609938</v>
      </c>
      <c r="H124" s="344">
        <f t="shared" si="20"/>
        <v>0</v>
      </c>
      <c r="I124" s="362">
        <f t="shared" si="21"/>
        <v>0</v>
      </c>
      <c r="J124" s="357"/>
      <c r="K124" s="363">
        <f>Données!Y124</f>
        <v>0</v>
      </c>
      <c r="L124" s="324">
        <f>Données!Z124</f>
        <v>0.309</v>
      </c>
      <c r="M124" s="336">
        <f t="shared" si="15"/>
        <v>180.70845697329378</v>
      </c>
      <c r="N124" s="362">
        <f t="shared" si="16"/>
        <v>0</v>
      </c>
      <c r="O124" s="357"/>
      <c r="P124" s="318">
        <f>Données!AA124</f>
        <v>24</v>
      </c>
      <c r="Q124" s="359">
        <f>Données!AB124</f>
        <v>6</v>
      </c>
      <c r="R124" s="302">
        <f t="shared" si="17"/>
        <v>24.9</v>
      </c>
      <c r="S124" s="364">
        <f t="shared" si="18"/>
        <v>7.5683890577507601E-2</v>
      </c>
      <c r="T124" s="344">
        <f t="shared" si="19"/>
        <v>44.883195516442306</v>
      </c>
      <c r="U124" s="344">
        <f t="shared" si="22"/>
        <v>0</v>
      </c>
      <c r="V124" s="362">
        <f t="shared" si="23"/>
        <v>0</v>
      </c>
      <c r="W124" s="436"/>
      <c r="X124" s="302">
        <f t="shared" si="24"/>
        <v>0</v>
      </c>
      <c r="Y124" s="322">
        <f t="shared" si="25"/>
        <v>0</v>
      </c>
    </row>
    <row r="125" spans="1:25" x14ac:dyDescent="0.25">
      <c r="A125" s="148">
        <f>Données!A125</f>
        <v>5610</v>
      </c>
      <c r="B125" s="156" t="str">
        <f>Données!B125</f>
        <v>St-Saphorin (Lavaux)</v>
      </c>
      <c r="C125" s="321">
        <f>Données!C125</f>
        <v>389</v>
      </c>
      <c r="D125" s="336"/>
      <c r="E125" s="318">
        <f>Données!X125</f>
        <v>87</v>
      </c>
      <c r="F125" s="361">
        <f t="shared" si="13"/>
        <v>0.2236503856041131</v>
      </c>
      <c r="G125" s="336">
        <f t="shared" si="14"/>
        <v>303.84324405557038</v>
      </c>
      <c r="H125" s="344">
        <f t="shared" si="20"/>
        <v>0</v>
      </c>
      <c r="I125" s="362">
        <f t="shared" si="21"/>
        <v>0</v>
      </c>
      <c r="J125" s="357"/>
      <c r="K125" s="363">
        <f>Données!Y125</f>
        <v>0</v>
      </c>
      <c r="L125" s="324">
        <f>Données!Z125</f>
        <v>0.41799999999999998</v>
      </c>
      <c r="M125" s="336">
        <f t="shared" si="15"/>
        <v>244.45351137487637</v>
      </c>
      <c r="N125" s="362">
        <f t="shared" si="16"/>
        <v>0</v>
      </c>
      <c r="O125" s="357"/>
      <c r="P125" s="318">
        <f>Données!AA125</f>
        <v>28</v>
      </c>
      <c r="Q125" s="359">
        <f>Données!AB125</f>
        <v>14</v>
      </c>
      <c r="R125" s="302">
        <f t="shared" si="17"/>
        <v>30.1</v>
      </c>
      <c r="S125" s="364">
        <f t="shared" si="18"/>
        <v>7.7377892030848328E-2</v>
      </c>
      <c r="T125" s="344">
        <f t="shared" si="19"/>
        <v>53.068580717009297</v>
      </c>
      <c r="U125" s="344">
        <f t="shared" si="22"/>
        <v>0</v>
      </c>
      <c r="V125" s="362">
        <f t="shared" si="23"/>
        <v>0</v>
      </c>
      <c r="W125" s="436"/>
      <c r="X125" s="302">
        <f t="shared" si="24"/>
        <v>0</v>
      </c>
      <c r="Y125" s="322">
        <f t="shared" si="25"/>
        <v>0</v>
      </c>
    </row>
    <row r="126" spans="1:25" x14ac:dyDescent="0.25">
      <c r="A126" s="148">
        <f>Données!A126</f>
        <v>5611</v>
      </c>
      <c r="B126" s="156" t="str">
        <f>Données!B126</f>
        <v>Savigny</v>
      </c>
      <c r="C126" s="321">
        <f>Données!C126</f>
        <v>3506</v>
      </c>
      <c r="D126" s="336"/>
      <c r="E126" s="318">
        <f>Données!X126</f>
        <v>1607</v>
      </c>
      <c r="F126" s="361">
        <f t="shared" si="13"/>
        <v>0.45835710211066744</v>
      </c>
      <c r="G126" s="336">
        <f t="shared" si="14"/>
        <v>2738.4946366550894</v>
      </c>
      <c r="H126" s="344">
        <f t="shared" si="20"/>
        <v>0</v>
      </c>
      <c r="I126" s="362">
        <f t="shared" si="21"/>
        <v>0</v>
      </c>
      <c r="J126" s="357"/>
      <c r="K126" s="363">
        <f>Données!Y126</f>
        <v>3500</v>
      </c>
      <c r="L126" s="324">
        <f>Données!Z126</f>
        <v>6.0999999999999999E-2</v>
      </c>
      <c r="M126" s="336">
        <f t="shared" si="15"/>
        <v>35.673837784371912</v>
      </c>
      <c r="N126" s="362">
        <f t="shared" si="16"/>
        <v>-124858</v>
      </c>
      <c r="O126" s="357"/>
      <c r="P126" s="318">
        <f>Données!AA126</f>
        <v>413</v>
      </c>
      <c r="Q126" s="359">
        <f>Données!AB126</f>
        <v>270</v>
      </c>
      <c r="R126" s="302">
        <f t="shared" si="17"/>
        <v>453.5</v>
      </c>
      <c r="S126" s="364">
        <f t="shared" si="18"/>
        <v>0.12934968625213919</v>
      </c>
      <c r="T126" s="344">
        <f t="shared" si="19"/>
        <v>478.29934188646422</v>
      </c>
      <c r="U126" s="344">
        <f t="shared" si="22"/>
        <v>0</v>
      </c>
      <c r="V126" s="362">
        <f t="shared" si="23"/>
        <v>0</v>
      </c>
      <c r="W126" s="436"/>
      <c r="X126" s="302">
        <f t="shared" si="24"/>
        <v>0</v>
      </c>
      <c r="Y126" s="322">
        <f t="shared" si="25"/>
        <v>0</v>
      </c>
    </row>
    <row r="127" spans="1:25" x14ac:dyDescent="0.25">
      <c r="A127" s="148">
        <f>Données!A127</f>
        <v>5613</v>
      </c>
      <c r="B127" s="156" t="str">
        <f>Données!B127</f>
        <v>Bourg-en-Lavaux</v>
      </c>
      <c r="C127" s="321">
        <f>Données!C127</f>
        <v>5465</v>
      </c>
      <c r="D127" s="336"/>
      <c r="E127" s="318">
        <f>Données!X127</f>
        <v>961</v>
      </c>
      <c r="F127" s="361">
        <f t="shared" si="13"/>
        <v>0.17584629460201281</v>
      </c>
      <c r="G127" s="336">
        <f t="shared" si="14"/>
        <v>4268.6460893668182</v>
      </c>
      <c r="H127" s="344">
        <f t="shared" si="20"/>
        <v>0</v>
      </c>
      <c r="I127" s="362">
        <f t="shared" si="21"/>
        <v>0</v>
      </c>
      <c r="J127" s="357"/>
      <c r="K127" s="363">
        <f>Données!Y127</f>
        <v>185</v>
      </c>
      <c r="L127" s="324">
        <f>Données!Z127</f>
        <v>0.27900000000000003</v>
      </c>
      <c r="M127" s="336">
        <f t="shared" si="15"/>
        <v>163.16394658753711</v>
      </c>
      <c r="N127" s="362">
        <f t="shared" si="16"/>
        <v>-30185</v>
      </c>
      <c r="O127" s="357"/>
      <c r="P127" s="318">
        <f>Données!AA127</f>
        <v>499</v>
      </c>
      <c r="Q127" s="359">
        <f>Données!AB127</f>
        <v>171</v>
      </c>
      <c r="R127" s="302">
        <f t="shared" si="17"/>
        <v>524.65</v>
      </c>
      <c r="S127" s="364">
        <f t="shared" si="18"/>
        <v>9.6001829826166507E-2</v>
      </c>
      <c r="T127" s="344">
        <f t="shared" si="19"/>
        <v>745.55216868497632</v>
      </c>
      <c r="U127" s="344">
        <f t="shared" si="22"/>
        <v>0</v>
      </c>
      <c r="V127" s="362">
        <f t="shared" si="23"/>
        <v>0</v>
      </c>
      <c r="W127" s="436"/>
      <c r="X127" s="302">
        <f t="shared" si="24"/>
        <v>0</v>
      </c>
      <c r="Y127" s="322">
        <f t="shared" si="25"/>
        <v>0</v>
      </c>
    </row>
    <row r="128" spans="1:25" x14ac:dyDescent="0.25">
      <c r="A128" s="148">
        <f>Données!A128</f>
        <v>5621</v>
      </c>
      <c r="B128" s="156" t="str">
        <f>Données!B128</f>
        <v>Aclens</v>
      </c>
      <c r="C128" s="321">
        <f>Données!C128</f>
        <v>587</v>
      </c>
      <c r="D128" s="336"/>
      <c r="E128" s="318">
        <f>Données!X128</f>
        <v>389</v>
      </c>
      <c r="F128" s="361">
        <f t="shared" si="13"/>
        <v>0.66269165247018735</v>
      </c>
      <c r="G128" s="336">
        <f t="shared" si="14"/>
        <v>458.4986741918247</v>
      </c>
      <c r="H128" s="344">
        <f t="shared" si="20"/>
        <v>0</v>
      </c>
      <c r="I128" s="362">
        <f t="shared" si="21"/>
        <v>0</v>
      </c>
      <c r="J128" s="357"/>
      <c r="K128" s="363">
        <f>Données!Y128</f>
        <v>0</v>
      </c>
      <c r="L128" s="324">
        <f>Données!Z128</f>
        <v>4.5999999999999999E-2</v>
      </c>
      <c r="M128" s="336">
        <f t="shared" si="15"/>
        <v>26.901582591493572</v>
      </c>
      <c r="N128" s="362">
        <f t="shared" si="16"/>
        <v>0</v>
      </c>
      <c r="O128" s="357"/>
      <c r="P128" s="318">
        <f>Données!AA128</f>
        <v>71</v>
      </c>
      <c r="Q128" s="359">
        <f>Données!AB128</f>
        <v>50</v>
      </c>
      <c r="R128" s="302">
        <f t="shared" si="17"/>
        <v>78.5</v>
      </c>
      <c r="S128" s="364">
        <f t="shared" si="18"/>
        <v>0.13373083475298125</v>
      </c>
      <c r="T128" s="344">
        <f t="shared" si="19"/>
        <v>80.08035187888035</v>
      </c>
      <c r="U128" s="344">
        <f t="shared" si="22"/>
        <v>0</v>
      </c>
      <c r="V128" s="362">
        <f t="shared" si="23"/>
        <v>0</v>
      </c>
      <c r="W128" s="436"/>
      <c r="X128" s="302">
        <f t="shared" si="24"/>
        <v>0</v>
      </c>
      <c r="Y128" s="322">
        <f t="shared" si="25"/>
        <v>0</v>
      </c>
    </row>
    <row r="129" spans="1:25" x14ac:dyDescent="0.25">
      <c r="A129" s="148">
        <f>Données!A129</f>
        <v>5622</v>
      </c>
      <c r="B129" s="156" t="str">
        <f>Données!B129</f>
        <v>Bremblens</v>
      </c>
      <c r="C129" s="321">
        <f>Données!C129</f>
        <v>615</v>
      </c>
      <c r="D129" s="336"/>
      <c r="E129" s="318">
        <f>Données!X129</f>
        <v>292</v>
      </c>
      <c r="F129" s="361">
        <f t="shared" si="13"/>
        <v>0.47479674796747967</v>
      </c>
      <c r="G129" s="336">
        <f t="shared" si="14"/>
        <v>480.36913905957783</v>
      </c>
      <c r="H129" s="344">
        <f t="shared" si="20"/>
        <v>0</v>
      </c>
      <c r="I129" s="362">
        <f t="shared" si="21"/>
        <v>0</v>
      </c>
      <c r="J129" s="357"/>
      <c r="K129" s="363">
        <f>Données!Y129</f>
        <v>0</v>
      </c>
      <c r="L129" s="324">
        <f>Données!Z129</f>
        <v>2.9000000000000001E-2</v>
      </c>
      <c r="M129" s="336">
        <f t="shared" si="15"/>
        <v>16.959693372898123</v>
      </c>
      <c r="N129" s="362">
        <f t="shared" si="16"/>
        <v>0</v>
      </c>
      <c r="O129" s="357"/>
      <c r="P129" s="318">
        <f>Données!AA129</f>
        <v>75</v>
      </c>
      <c r="Q129" s="359">
        <f>Données!AB129</f>
        <v>52</v>
      </c>
      <c r="R129" s="302">
        <f t="shared" si="17"/>
        <v>82.8</v>
      </c>
      <c r="S129" s="364">
        <f t="shared" si="18"/>
        <v>0.13463414634146342</v>
      </c>
      <c r="T129" s="344">
        <f t="shared" si="19"/>
        <v>83.900198305811614</v>
      </c>
      <c r="U129" s="344">
        <f t="shared" si="22"/>
        <v>0</v>
      </c>
      <c r="V129" s="362">
        <f t="shared" si="23"/>
        <v>0</v>
      </c>
      <c r="W129" s="436"/>
      <c r="X129" s="302">
        <f t="shared" si="24"/>
        <v>0</v>
      </c>
      <c r="Y129" s="322">
        <f t="shared" si="25"/>
        <v>0</v>
      </c>
    </row>
    <row r="130" spans="1:25" x14ac:dyDescent="0.25">
      <c r="A130" s="148">
        <f>Données!A130</f>
        <v>5623</v>
      </c>
      <c r="B130" s="156" t="str">
        <f>Données!B130</f>
        <v>Buchillon</v>
      </c>
      <c r="C130" s="321">
        <f>Données!C130</f>
        <v>686</v>
      </c>
      <c r="D130" s="336"/>
      <c r="E130" s="318">
        <f>Données!X130</f>
        <v>211</v>
      </c>
      <c r="F130" s="361">
        <f t="shared" si="13"/>
        <v>0.3075801749271137</v>
      </c>
      <c r="G130" s="336">
        <f t="shared" si="14"/>
        <v>535.82638925995184</v>
      </c>
      <c r="H130" s="344">
        <f t="shared" si="20"/>
        <v>0</v>
      </c>
      <c r="I130" s="362">
        <f t="shared" si="21"/>
        <v>0</v>
      </c>
      <c r="J130" s="357"/>
      <c r="K130" s="363">
        <f>Données!Y130</f>
        <v>0</v>
      </c>
      <c r="L130" s="324">
        <f>Données!Z130</f>
        <v>3.9E-2</v>
      </c>
      <c r="M130" s="336">
        <f t="shared" si="15"/>
        <v>22.807863501483681</v>
      </c>
      <c r="N130" s="362">
        <f t="shared" si="16"/>
        <v>0</v>
      </c>
      <c r="O130" s="357"/>
      <c r="P130" s="318">
        <f>Données!AA130</f>
        <v>62</v>
      </c>
      <c r="Q130" s="359">
        <f>Données!AB130</f>
        <v>26</v>
      </c>
      <c r="R130" s="302">
        <f t="shared" si="17"/>
        <v>65.900000000000006</v>
      </c>
      <c r="S130" s="364">
        <f t="shared" si="18"/>
        <v>9.6064139941690968E-2</v>
      </c>
      <c r="T130" s="344">
        <f t="shared" si="19"/>
        <v>93.586237459815877</v>
      </c>
      <c r="U130" s="344">
        <f t="shared" si="22"/>
        <v>0</v>
      </c>
      <c r="V130" s="362">
        <f t="shared" si="23"/>
        <v>0</v>
      </c>
      <c r="W130" s="436"/>
      <c r="X130" s="302">
        <f t="shared" si="24"/>
        <v>0</v>
      </c>
      <c r="Y130" s="322">
        <f t="shared" si="25"/>
        <v>0</v>
      </c>
    </row>
    <row r="131" spans="1:25" x14ac:dyDescent="0.25">
      <c r="A131" s="148">
        <f>Données!A131</f>
        <v>5624</v>
      </c>
      <c r="B131" s="156" t="str">
        <f>Données!B131</f>
        <v>Bussigny</v>
      </c>
      <c r="C131" s="321">
        <f>Données!C131</f>
        <v>11667</v>
      </c>
      <c r="D131" s="336"/>
      <c r="E131" s="318">
        <f>Données!X131</f>
        <v>474</v>
      </c>
      <c r="F131" s="361">
        <f t="shared" si="13"/>
        <v>4.0627410645410131E-2</v>
      </c>
      <c r="G131" s="336">
        <f t="shared" si="14"/>
        <v>9112.9540575741376</v>
      </c>
      <c r="H131" s="344">
        <f t="shared" si="20"/>
        <v>0</v>
      </c>
      <c r="I131" s="362">
        <f t="shared" si="21"/>
        <v>0</v>
      </c>
      <c r="J131" s="357"/>
      <c r="K131" s="363">
        <f>Données!Y131</f>
        <v>0</v>
      </c>
      <c r="L131" s="324">
        <f>Données!Z131</f>
        <v>5.8000000000000003E-2</v>
      </c>
      <c r="M131" s="336">
        <f t="shared" si="15"/>
        <v>33.919386745796245</v>
      </c>
      <c r="N131" s="362">
        <f t="shared" si="16"/>
        <v>0</v>
      </c>
      <c r="O131" s="357"/>
      <c r="P131" s="318">
        <f>Données!AA131</f>
        <v>1421</v>
      </c>
      <c r="Q131" s="359">
        <f>Données!AB131</f>
        <v>49</v>
      </c>
      <c r="R131" s="302">
        <f t="shared" si="17"/>
        <v>1428.35</v>
      </c>
      <c r="S131" s="364">
        <f t="shared" si="18"/>
        <v>0.12242650209993999</v>
      </c>
      <c r="T131" s="344">
        <f t="shared" si="19"/>
        <v>1591.6481522502504</v>
      </c>
      <c r="U131" s="344">
        <f t="shared" si="22"/>
        <v>0</v>
      </c>
      <c r="V131" s="362">
        <f t="shared" si="23"/>
        <v>0</v>
      </c>
      <c r="W131" s="436"/>
      <c r="X131" s="302">
        <f t="shared" si="24"/>
        <v>0</v>
      </c>
      <c r="Y131" s="322">
        <f t="shared" si="25"/>
        <v>0</v>
      </c>
    </row>
    <row r="132" spans="1:25" x14ac:dyDescent="0.25">
      <c r="A132" s="148">
        <f>Données!A132</f>
        <v>5627</v>
      </c>
      <c r="B132" s="156" t="str">
        <f>Données!B132</f>
        <v>Chavannes-près-Renens</v>
      </c>
      <c r="C132" s="321">
        <f>Données!C132</f>
        <v>9771</v>
      </c>
      <c r="D132" s="336"/>
      <c r="E132" s="318">
        <f>Données!X132</f>
        <v>165</v>
      </c>
      <c r="F132" s="361">
        <f t="shared" si="13"/>
        <v>1.6886705557261284E-2</v>
      </c>
      <c r="G132" s="336">
        <f t="shared" si="14"/>
        <v>7632.0111508148539</v>
      </c>
      <c r="H132" s="344">
        <f t="shared" si="20"/>
        <v>0</v>
      </c>
      <c r="I132" s="362">
        <f t="shared" si="21"/>
        <v>0</v>
      </c>
      <c r="J132" s="357"/>
      <c r="K132" s="363">
        <f>Données!Y132</f>
        <v>0</v>
      </c>
      <c r="L132" s="324">
        <f>Données!Z132</f>
        <v>7.3999999999999996E-2</v>
      </c>
      <c r="M132" s="336">
        <f t="shared" si="15"/>
        <v>43.276458951533137</v>
      </c>
      <c r="N132" s="362">
        <f t="shared" si="16"/>
        <v>0</v>
      </c>
      <c r="O132" s="357"/>
      <c r="P132" s="318">
        <f>Données!AA132</f>
        <v>1028</v>
      </c>
      <c r="Q132" s="359">
        <f>Données!AB132</f>
        <v>19</v>
      </c>
      <c r="R132" s="302">
        <f t="shared" si="17"/>
        <v>1030.8499999999999</v>
      </c>
      <c r="S132" s="364">
        <f t="shared" si="18"/>
        <v>0.10550097226486541</v>
      </c>
      <c r="T132" s="344">
        <f t="shared" si="19"/>
        <v>1332.9899799123336</v>
      </c>
      <c r="U132" s="344">
        <f t="shared" si="22"/>
        <v>0</v>
      </c>
      <c r="V132" s="362">
        <f t="shared" si="23"/>
        <v>0</v>
      </c>
      <c r="W132" s="436"/>
      <c r="X132" s="302">
        <f t="shared" si="24"/>
        <v>0</v>
      </c>
      <c r="Y132" s="322">
        <f t="shared" si="25"/>
        <v>0</v>
      </c>
    </row>
    <row r="133" spans="1:25" x14ac:dyDescent="0.25">
      <c r="A133" s="148">
        <f>Données!A133</f>
        <v>5628</v>
      </c>
      <c r="B133" s="156" t="str">
        <f>Données!B133</f>
        <v>Chigny</v>
      </c>
      <c r="C133" s="321">
        <f>Données!C133</f>
        <v>420</v>
      </c>
      <c r="D133" s="336"/>
      <c r="E133" s="318">
        <f>Données!X133</f>
        <v>86</v>
      </c>
      <c r="F133" s="361">
        <f t="shared" si="13"/>
        <v>0.20476190476190476</v>
      </c>
      <c r="G133" s="336">
        <f t="shared" si="14"/>
        <v>328.05697301629709</v>
      </c>
      <c r="H133" s="344">
        <f t="shared" si="20"/>
        <v>0</v>
      </c>
      <c r="I133" s="362">
        <f t="shared" si="21"/>
        <v>0</v>
      </c>
      <c r="J133" s="357"/>
      <c r="K133" s="363">
        <f>Données!Y133</f>
        <v>0</v>
      </c>
      <c r="L133" s="324">
        <f>Données!Z133</f>
        <v>5.5E-2</v>
      </c>
      <c r="M133" s="336">
        <f t="shared" si="15"/>
        <v>32.164935707220579</v>
      </c>
      <c r="N133" s="362">
        <f t="shared" si="16"/>
        <v>0</v>
      </c>
      <c r="O133" s="357"/>
      <c r="P133" s="318">
        <f>Données!AA133</f>
        <v>54</v>
      </c>
      <c r="Q133" s="359">
        <f>Données!AB133</f>
        <v>3</v>
      </c>
      <c r="R133" s="302">
        <f t="shared" si="17"/>
        <v>54.45</v>
      </c>
      <c r="S133" s="364">
        <f t="shared" si="18"/>
        <v>0.12964285714285714</v>
      </c>
      <c r="T133" s="344">
        <f t="shared" si="19"/>
        <v>57.297696403968907</v>
      </c>
      <c r="U133" s="344">
        <f t="shared" si="22"/>
        <v>0</v>
      </c>
      <c r="V133" s="362">
        <f t="shared" si="23"/>
        <v>0</v>
      </c>
      <c r="W133" s="436"/>
      <c r="X133" s="302">
        <f t="shared" si="24"/>
        <v>0</v>
      </c>
      <c r="Y133" s="322">
        <f t="shared" si="25"/>
        <v>0</v>
      </c>
    </row>
    <row r="134" spans="1:25" x14ac:dyDescent="0.25">
      <c r="A134" s="148">
        <f>Données!A134</f>
        <v>5629</v>
      </c>
      <c r="B134" s="156" t="str">
        <f>Données!B134</f>
        <v>Clarmont</v>
      </c>
      <c r="C134" s="321">
        <f>Données!C134</f>
        <v>228</v>
      </c>
      <c r="D134" s="336"/>
      <c r="E134" s="318">
        <f>Données!X134</f>
        <v>101</v>
      </c>
      <c r="F134" s="361">
        <f t="shared" si="13"/>
        <v>0.44298245614035087</v>
      </c>
      <c r="G134" s="336">
        <f t="shared" si="14"/>
        <v>178.08807106598985</v>
      </c>
      <c r="H134" s="344">
        <f t="shared" si="20"/>
        <v>0</v>
      </c>
      <c r="I134" s="362">
        <f t="shared" si="21"/>
        <v>0</v>
      </c>
      <c r="J134" s="357"/>
      <c r="K134" s="363">
        <f>Données!Y134</f>
        <v>0</v>
      </c>
      <c r="L134" s="324">
        <f>Données!Z134</f>
        <v>4.3999999999999997E-2</v>
      </c>
      <c r="M134" s="336">
        <f t="shared" si="15"/>
        <v>25.73194856577646</v>
      </c>
      <c r="N134" s="362">
        <f t="shared" si="16"/>
        <v>0</v>
      </c>
      <c r="O134" s="357"/>
      <c r="P134" s="318">
        <f>Données!AA134</f>
        <v>23</v>
      </c>
      <c r="Q134" s="359">
        <f>Données!AB134</f>
        <v>2</v>
      </c>
      <c r="R134" s="302">
        <f t="shared" si="17"/>
        <v>23.3</v>
      </c>
      <c r="S134" s="364">
        <f t="shared" si="18"/>
        <v>0.10219298245614035</v>
      </c>
      <c r="T134" s="344">
        <f t="shared" si="19"/>
        <v>31.104463762154548</v>
      </c>
      <c r="U134" s="344">
        <f t="shared" si="22"/>
        <v>0</v>
      </c>
      <c r="V134" s="362">
        <f t="shared" si="23"/>
        <v>0</v>
      </c>
      <c r="W134" s="436"/>
      <c r="X134" s="302">
        <f t="shared" si="24"/>
        <v>0</v>
      </c>
      <c r="Y134" s="322">
        <f t="shared" si="25"/>
        <v>0</v>
      </c>
    </row>
    <row r="135" spans="1:25" x14ac:dyDescent="0.25">
      <c r="A135" s="148">
        <f>Données!A135</f>
        <v>5631</v>
      </c>
      <c r="B135" s="156" t="str">
        <f>Données!B135</f>
        <v>Denens</v>
      </c>
      <c r="C135" s="321">
        <f>Données!C135</f>
        <v>742</v>
      </c>
      <c r="D135" s="336"/>
      <c r="E135" s="318">
        <f>Données!X135</f>
        <v>329</v>
      </c>
      <c r="F135" s="361">
        <f t="shared" si="13"/>
        <v>0.44339622641509435</v>
      </c>
      <c r="G135" s="336">
        <f t="shared" si="14"/>
        <v>579.56731899545821</v>
      </c>
      <c r="H135" s="344">
        <f t="shared" si="20"/>
        <v>0</v>
      </c>
      <c r="I135" s="362">
        <f t="shared" si="21"/>
        <v>0</v>
      </c>
      <c r="J135" s="357"/>
      <c r="K135" s="363">
        <f>Données!Y135</f>
        <v>0</v>
      </c>
      <c r="L135" s="324">
        <f>Données!Z135</f>
        <v>4.0000000000000001E-3</v>
      </c>
      <c r="M135" s="336">
        <f t="shared" si="15"/>
        <v>2.3392680514342237</v>
      </c>
      <c r="N135" s="362">
        <f t="shared" si="16"/>
        <v>0</v>
      </c>
      <c r="O135" s="357"/>
      <c r="P135" s="318">
        <f>Données!AA135</f>
        <v>76</v>
      </c>
      <c r="Q135" s="359">
        <f>Données!AB135</f>
        <v>54</v>
      </c>
      <c r="R135" s="302">
        <f t="shared" si="17"/>
        <v>84.1</v>
      </c>
      <c r="S135" s="364">
        <f t="shared" si="18"/>
        <v>0.11334231805929919</v>
      </c>
      <c r="T135" s="344">
        <f t="shared" si="19"/>
        <v>101.2259303136784</v>
      </c>
      <c r="U135" s="344">
        <f t="shared" si="22"/>
        <v>0</v>
      </c>
      <c r="V135" s="362">
        <f t="shared" si="23"/>
        <v>0</v>
      </c>
      <c r="W135" s="436"/>
      <c r="X135" s="302">
        <f t="shared" si="24"/>
        <v>0</v>
      </c>
      <c r="Y135" s="322">
        <f t="shared" si="25"/>
        <v>0</v>
      </c>
    </row>
    <row r="136" spans="1:25" x14ac:dyDescent="0.25">
      <c r="A136" s="148">
        <f>Données!A136</f>
        <v>5632</v>
      </c>
      <c r="B136" s="156" t="str">
        <f>Données!B136</f>
        <v>Denges</v>
      </c>
      <c r="C136" s="321">
        <f>Données!C136</f>
        <v>1837</v>
      </c>
      <c r="D136" s="336"/>
      <c r="E136" s="318">
        <f>Données!X136</f>
        <v>166</v>
      </c>
      <c r="F136" s="361">
        <f t="shared" ref="F136:F199" si="26">E136/C136</f>
        <v>9.0364725095264012E-2</v>
      </c>
      <c r="G136" s="336">
        <f t="shared" ref="G136:G199" si="27">C136*$I$4</f>
        <v>1434.8587129308041</v>
      </c>
      <c r="H136" s="344">
        <f t="shared" si="20"/>
        <v>0</v>
      </c>
      <c r="I136" s="362">
        <f t="shared" si="21"/>
        <v>0</v>
      </c>
      <c r="J136" s="357"/>
      <c r="K136" s="363">
        <f>Données!Y136</f>
        <v>0</v>
      </c>
      <c r="L136" s="324">
        <f>Données!Z136</f>
        <v>4.1000000000000002E-2</v>
      </c>
      <c r="M136" s="336">
        <f t="shared" ref="M136:M199" si="28">L136*$N$5</f>
        <v>23.977497527200793</v>
      </c>
      <c r="N136" s="362">
        <f t="shared" ref="N136:N199" si="29">ROUND(-M136*K136,0)</f>
        <v>0</v>
      </c>
      <c r="O136" s="357"/>
      <c r="P136" s="318">
        <f>Données!AA136</f>
        <v>170</v>
      </c>
      <c r="Q136" s="359">
        <f>Données!AB136</f>
        <v>9</v>
      </c>
      <c r="R136" s="302">
        <f t="shared" ref="R136:R199" si="30">P136*$P$6+Q136*$Q$6</f>
        <v>171.35</v>
      </c>
      <c r="S136" s="364">
        <f t="shared" ref="S136:S199" si="31">R136/C136</f>
        <v>9.3277082199237887E-2</v>
      </c>
      <c r="T136" s="344">
        <f t="shared" ref="T136:T199" si="32">$V$4*C136</f>
        <v>250.6092102240259</v>
      </c>
      <c r="U136" s="344">
        <f t="shared" si="22"/>
        <v>0</v>
      </c>
      <c r="V136" s="362">
        <f t="shared" si="23"/>
        <v>0</v>
      </c>
      <c r="W136" s="436"/>
      <c r="X136" s="302">
        <f t="shared" si="24"/>
        <v>0</v>
      </c>
      <c r="Y136" s="322">
        <f t="shared" si="25"/>
        <v>0</v>
      </c>
    </row>
    <row r="137" spans="1:25" x14ac:dyDescent="0.25">
      <c r="A137" s="148">
        <f>Données!A137</f>
        <v>5633</v>
      </c>
      <c r="B137" s="156" t="str">
        <f>Données!B137</f>
        <v>Echandens</v>
      </c>
      <c r="C137" s="321">
        <f>Données!C137</f>
        <v>3004</v>
      </c>
      <c r="D137" s="336"/>
      <c r="E137" s="318">
        <f>Données!X137</f>
        <v>384</v>
      </c>
      <c r="F137" s="361">
        <f t="shared" si="26"/>
        <v>0.12782956058588549</v>
      </c>
      <c r="G137" s="336">
        <f t="shared" si="27"/>
        <v>2346.3884450975152</v>
      </c>
      <c r="H137" s="344">
        <f t="shared" ref="H137:H200" si="33">IF(E137&gt;G137,E137-G137,0)</f>
        <v>0</v>
      </c>
      <c r="I137" s="362">
        <f t="shared" ref="I137:I200" si="34">ROUND(-H137*$I$5,0)</f>
        <v>0</v>
      </c>
      <c r="J137" s="357"/>
      <c r="K137" s="363">
        <f>Données!Y137</f>
        <v>0</v>
      </c>
      <c r="L137" s="324">
        <f>Données!Z137</f>
        <v>4.5999999999999999E-2</v>
      </c>
      <c r="M137" s="336">
        <f t="shared" si="28"/>
        <v>26.901582591493572</v>
      </c>
      <c r="N137" s="362">
        <f t="shared" si="29"/>
        <v>0</v>
      </c>
      <c r="O137" s="357"/>
      <c r="P137" s="318">
        <f>Données!AA137</f>
        <v>243</v>
      </c>
      <c r="Q137" s="359">
        <f>Données!AB137</f>
        <v>100</v>
      </c>
      <c r="R137" s="302">
        <f t="shared" si="30"/>
        <v>258</v>
      </c>
      <c r="S137" s="364">
        <f t="shared" si="31"/>
        <v>8.5885486018641807E-2</v>
      </c>
      <c r="T137" s="344">
        <f t="shared" si="32"/>
        <v>409.81495237505379</v>
      </c>
      <c r="U137" s="344">
        <f t="shared" ref="U137:U200" si="35">IF(R137&gt;T137,R137-T137,0)</f>
        <v>0</v>
      </c>
      <c r="V137" s="362">
        <f t="shared" ref="V137:V200" si="36">ROUND(-$V$5*U137,0)</f>
        <v>0</v>
      </c>
      <c r="W137" s="436"/>
      <c r="X137" s="302">
        <f t="shared" ref="X137:X200" si="37">IF(-Q137*$Q$6*$V$5&gt;V137,-Q137*$Q$6*$V$5,V137)</f>
        <v>0</v>
      </c>
      <c r="Y137" s="322">
        <f t="shared" ref="Y137:Y200" si="38">IF(X137&gt;V137,V137-X137,0)</f>
        <v>0</v>
      </c>
    </row>
    <row r="138" spans="1:25" x14ac:dyDescent="0.25">
      <c r="A138" s="148">
        <f>Données!A138</f>
        <v>5634</v>
      </c>
      <c r="B138" s="156" t="str">
        <f>Données!B138</f>
        <v>Echichens</v>
      </c>
      <c r="C138" s="321">
        <f>Données!C138</f>
        <v>3218</v>
      </c>
      <c r="D138" s="336"/>
      <c r="E138" s="318">
        <f>Données!X138</f>
        <v>1325</v>
      </c>
      <c r="F138" s="361">
        <f t="shared" si="26"/>
        <v>0.41174642635177128</v>
      </c>
      <c r="G138" s="336">
        <f t="shared" si="27"/>
        <v>2513.5412837296285</v>
      </c>
      <c r="H138" s="344">
        <f t="shared" si="33"/>
        <v>0</v>
      </c>
      <c r="I138" s="362">
        <f t="shared" si="34"/>
        <v>0</v>
      </c>
      <c r="J138" s="357"/>
      <c r="K138" s="363">
        <f>Données!Y138</f>
        <v>0</v>
      </c>
      <c r="L138" s="324">
        <f>Données!Z138</f>
        <v>2.1999999999999999E-2</v>
      </c>
      <c r="M138" s="336">
        <f t="shared" si="28"/>
        <v>12.86597428288823</v>
      </c>
      <c r="N138" s="362">
        <f t="shared" si="29"/>
        <v>0</v>
      </c>
      <c r="O138" s="357"/>
      <c r="P138" s="318">
        <f>Données!AA138</f>
        <v>417</v>
      </c>
      <c r="Q138" s="359">
        <f>Données!AB138</f>
        <v>169</v>
      </c>
      <c r="R138" s="302">
        <f t="shared" si="30"/>
        <v>442.35</v>
      </c>
      <c r="S138" s="364">
        <f t="shared" si="31"/>
        <v>0.13746115599751399</v>
      </c>
      <c r="T138" s="344">
        <f t="shared" si="32"/>
        <v>439.0094929237427</v>
      </c>
      <c r="U138" s="344">
        <f t="shared" si="35"/>
        <v>3.3405070762573246</v>
      </c>
      <c r="V138" s="362">
        <f t="shared" si="36"/>
        <v>-14208</v>
      </c>
      <c r="W138" s="436"/>
      <c r="X138" s="302">
        <f t="shared" si="37"/>
        <v>-14208</v>
      </c>
      <c r="Y138" s="322">
        <f t="shared" si="38"/>
        <v>0</v>
      </c>
    </row>
    <row r="139" spans="1:25" x14ac:dyDescent="0.25">
      <c r="A139" s="148">
        <f>Données!A139</f>
        <v>5635</v>
      </c>
      <c r="B139" s="156" t="str">
        <f>Données!B139</f>
        <v>Ecublens</v>
      </c>
      <c r="C139" s="321">
        <f>Données!C139</f>
        <v>13391</v>
      </c>
      <c r="D139" s="336"/>
      <c r="E139" s="318">
        <f>Données!X139</f>
        <v>565</v>
      </c>
      <c r="F139" s="361">
        <f t="shared" si="26"/>
        <v>4.2192517362407589E-2</v>
      </c>
      <c r="G139" s="336">
        <f t="shared" si="27"/>
        <v>10459.549823002939</v>
      </c>
      <c r="H139" s="344">
        <f t="shared" si="33"/>
        <v>0</v>
      </c>
      <c r="I139" s="362">
        <f t="shared" si="34"/>
        <v>0</v>
      </c>
      <c r="J139" s="357"/>
      <c r="K139" s="363">
        <f>Données!Y139</f>
        <v>0</v>
      </c>
      <c r="L139" s="324">
        <f>Données!Z139</f>
        <v>5.6000000000000001E-2</v>
      </c>
      <c r="M139" s="336">
        <f t="shared" si="28"/>
        <v>32.74975272007913</v>
      </c>
      <c r="N139" s="362">
        <f t="shared" si="29"/>
        <v>0</v>
      </c>
      <c r="O139" s="357"/>
      <c r="P139" s="318">
        <f>Données!AA139</f>
        <v>1400</v>
      </c>
      <c r="Q139" s="359">
        <f>Données!AB139</f>
        <v>43</v>
      </c>
      <c r="R139" s="302">
        <f t="shared" si="30"/>
        <v>1406.45</v>
      </c>
      <c r="S139" s="364">
        <f t="shared" si="31"/>
        <v>0.10502949742364275</v>
      </c>
      <c r="T139" s="344">
        <f t="shared" si="32"/>
        <v>1826.8415536798752</v>
      </c>
      <c r="U139" s="344">
        <f t="shared" si="35"/>
        <v>0</v>
      </c>
      <c r="V139" s="362">
        <f t="shared" si="36"/>
        <v>0</v>
      </c>
      <c r="W139" s="436"/>
      <c r="X139" s="302">
        <f t="shared" si="37"/>
        <v>0</v>
      </c>
      <c r="Y139" s="322">
        <f t="shared" si="38"/>
        <v>0</v>
      </c>
    </row>
    <row r="140" spans="1:25" x14ac:dyDescent="0.25">
      <c r="A140" s="148">
        <f>Données!A140</f>
        <v>5636</v>
      </c>
      <c r="B140" s="156" t="str">
        <f>Données!B140</f>
        <v>Etoy</v>
      </c>
      <c r="C140" s="321">
        <f>Données!C140</f>
        <v>2966</v>
      </c>
      <c r="D140" s="336"/>
      <c r="E140" s="318">
        <f>Données!X140</f>
        <v>490</v>
      </c>
      <c r="F140" s="361">
        <f t="shared" si="26"/>
        <v>0.16520566419420094</v>
      </c>
      <c r="G140" s="336">
        <f t="shared" si="27"/>
        <v>2316.7070999198504</v>
      </c>
      <c r="H140" s="344">
        <f t="shared" si="33"/>
        <v>0</v>
      </c>
      <c r="I140" s="362">
        <f t="shared" si="34"/>
        <v>0</v>
      </c>
      <c r="J140" s="357"/>
      <c r="K140" s="363">
        <f>Données!Y140</f>
        <v>0</v>
      </c>
      <c r="L140" s="324">
        <f>Données!Z140</f>
        <v>2.7E-2</v>
      </c>
      <c r="M140" s="336">
        <f t="shared" si="28"/>
        <v>15.79005934718101</v>
      </c>
      <c r="N140" s="362">
        <f t="shared" si="29"/>
        <v>0</v>
      </c>
      <c r="O140" s="357"/>
      <c r="P140" s="318">
        <f>Données!AA140</f>
        <v>293</v>
      </c>
      <c r="Q140" s="359">
        <f>Données!AB140</f>
        <v>111</v>
      </c>
      <c r="R140" s="302">
        <f t="shared" si="30"/>
        <v>309.64999999999998</v>
      </c>
      <c r="S140" s="364">
        <f t="shared" si="31"/>
        <v>0.10439986513823331</v>
      </c>
      <c r="T140" s="344">
        <f t="shared" si="32"/>
        <v>404.63087508136135</v>
      </c>
      <c r="U140" s="344">
        <f t="shared" si="35"/>
        <v>0</v>
      </c>
      <c r="V140" s="362">
        <f t="shared" si="36"/>
        <v>0</v>
      </c>
      <c r="W140" s="436"/>
      <c r="X140" s="302">
        <f t="shared" si="37"/>
        <v>0</v>
      </c>
      <c r="Y140" s="322">
        <f t="shared" si="38"/>
        <v>0</v>
      </c>
    </row>
    <row r="141" spans="1:25" x14ac:dyDescent="0.25">
      <c r="A141" s="148">
        <f>Données!A141</f>
        <v>5637</v>
      </c>
      <c r="B141" s="156" t="str">
        <f>Données!B141</f>
        <v>Lavigny</v>
      </c>
      <c r="C141" s="321">
        <f>Données!C141</f>
        <v>1100</v>
      </c>
      <c r="D141" s="336"/>
      <c r="E141" s="318">
        <f>Données!X141</f>
        <v>395</v>
      </c>
      <c r="F141" s="361">
        <f t="shared" si="26"/>
        <v>0.35909090909090907</v>
      </c>
      <c r="G141" s="336">
        <f t="shared" si="27"/>
        <v>859.19683409030188</v>
      </c>
      <c r="H141" s="344">
        <f t="shared" si="33"/>
        <v>0</v>
      </c>
      <c r="I141" s="362">
        <f t="shared" si="34"/>
        <v>0</v>
      </c>
      <c r="J141" s="357"/>
      <c r="K141" s="363">
        <f>Données!Y141</f>
        <v>0</v>
      </c>
      <c r="L141" s="324">
        <f>Données!Z141</f>
        <v>4.7E-2</v>
      </c>
      <c r="M141" s="336">
        <f t="shared" si="28"/>
        <v>27.48639960435213</v>
      </c>
      <c r="N141" s="362">
        <f t="shared" si="29"/>
        <v>0</v>
      </c>
      <c r="O141" s="357"/>
      <c r="P141" s="318">
        <f>Données!AA141</f>
        <v>132</v>
      </c>
      <c r="Q141" s="359">
        <f>Données!AB141</f>
        <v>50</v>
      </c>
      <c r="R141" s="302">
        <f t="shared" si="30"/>
        <v>139.5</v>
      </c>
      <c r="S141" s="364">
        <f t="shared" si="31"/>
        <v>0.12681818181818183</v>
      </c>
      <c r="T141" s="344">
        <f t="shared" si="32"/>
        <v>150.06539534372808</v>
      </c>
      <c r="U141" s="344">
        <f t="shared" si="35"/>
        <v>0</v>
      </c>
      <c r="V141" s="362">
        <f t="shared" si="36"/>
        <v>0</v>
      </c>
      <c r="W141" s="436"/>
      <c r="X141" s="302">
        <f t="shared" si="37"/>
        <v>0</v>
      </c>
      <c r="Y141" s="322">
        <f t="shared" si="38"/>
        <v>0</v>
      </c>
    </row>
    <row r="142" spans="1:25" x14ac:dyDescent="0.25">
      <c r="A142" s="148">
        <f>Données!A142</f>
        <v>5638</v>
      </c>
      <c r="B142" s="156" t="str">
        <f>Données!B142</f>
        <v>Lonay</v>
      </c>
      <c r="C142" s="321">
        <f>Données!C142</f>
        <v>2733</v>
      </c>
      <c r="D142" s="336"/>
      <c r="E142" s="318">
        <f>Données!X142</f>
        <v>369</v>
      </c>
      <c r="F142" s="361">
        <f t="shared" si="26"/>
        <v>0.1350164654226125</v>
      </c>
      <c r="G142" s="336">
        <f t="shared" si="27"/>
        <v>2134.7135886989045</v>
      </c>
      <c r="H142" s="344">
        <f t="shared" si="33"/>
        <v>0</v>
      </c>
      <c r="I142" s="362">
        <f t="shared" si="34"/>
        <v>0</v>
      </c>
      <c r="J142" s="357"/>
      <c r="K142" s="363">
        <f>Données!Y142</f>
        <v>0</v>
      </c>
      <c r="L142" s="324">
        <f>Données!Z142</f>
        <v>0.04</v>
      </c>
      <c r="M142" s="336">
        <f t="shared" si="28"/>
        <v>23.392680514342238</v>
      </c>
      <c r="N142" s="362">
        <f t="shared" si="29"/>
        <v>0</v>
      </c>
      <c r="O142" s="357"/>
      <c r="P142" s="318">
        <f>Données!AA142</f>
        <v>267</v>
      </c>
      <c r="Q142" s="359">
        <f>Données!AB142</f>
        <v>10</v>
      </c>
      <c r="R142" s="302">
        <f t="shared" si="30"/>
        <v>268.5</v>
      </c>
      <c r="S142" s="364">
        <f t="shared" si="31"/>
        <v>9.8243688254665201E-2</v>
      </c>
      <c r="T142" s="344">
        <f t="shared" si="32"/>
        <v>372.84429588582623</v>
      </c>
      <c r="U142" s="344">
        <f t="shared" si="35"/>
        <v>0</v>
      </c>
      <c r="V142" s="362">
        <f t="shared" si="36"/>
        <v>0</v>
      </c>
      <c r="W142" s="436"/>
      <c r="X142" s="302">
        <f t="shared" si="37"/>
        <v>0</v>
      </c>
      <c r="Y142" s="322">
        <f t="shared" si="38"/>
        <v>0</v>
      </c>
    </row>
    <row r="143" spans="1:25" x14ac:dyDescent="0.25">
      <c r="A143" s="148">
        <f>Données!A143</f>
        <v>5639</v>
      </c>
      <c r="B143" s="156" t="str">
        <f>Données!B143</f>
        <v>Lully</v>
      </c>
      <c r="C143" s="321">
        <f>Données!C143</f>
        <v>838</v>
      </c>
      <c r="D143" s="336"/>
      <c r="E143" s="318">
        <f>Données!X143</f>
        <v>203</v>
      </c>
      <c r="F143" s="361">
        <f t="shared" si="26"/>
        <v>0.24224343675417662</v>
      </c>
      <c r="G143" s="336">
        <f t="shared" si="27"/>
        <v>654.55176997061176</v>
      </c>
      <c r="H143" s="344">
        <f t="shared" si="33"/>
        <v>0</v>
      </c>
      <c r="I143" s="362">
        <f t="shared" si="34"/>
        <v>0</v>
      </c>
      <c r="J143" s="357"/>
      <c r="K143" s="363">
        <f>Données!Y143</f>
        <v>0</v>
      </c>
      <c r="L143" s="324">
        <f>Données!Z143</f>
        <v>5.3999999999999999E-2</v>
      </c>
      <c r="M143" s="336">
        <f t="shared" si="28"/>
        <v>31.580118694362021</v>
      </c>
      <c r="N143" s="362">
        <f t="shared" si="29"/>
        <v>0</v>
      </c>
      <c r="O143" s="357"/>
      <c r="P143" s="318">
        <f>Données!AA143</f>
        <v>114</v>
      </c>
      <c r="Q143" s="359">
        <f>Données!AB143</f>
        <v>31</v>
      </c>
      <c r="R143" s="302">
        <f t="shared" si="30"/>
        <v>118.65</v>
      </c>
      <c r="S143" s="364">
        <f t="shared" si="31"/>
        <v>0.14158711217183773</v>
      </c>
      <c r="T143" s="344">
        <f t="shared" si="32"/>
        <v>114.32254663458558</v>
      </c>
      <c r="U143" s="344">
        <f t="shared" si="35"/>
        <v>4.3274533654144278</v>
      </c>
      <c r="V143" s="362">
        <f t="shared" si="36"/>
        <v>-18406</v>
      </c>
      <c r="W143" s="436"/>
      <c r="X143" s="302">
        <f t="shared" si="37"/>
        <v>-18406</v>
      </c>
      <c r="Y143" s="322">
        <f t="shared" si="38"/>
        <v>0</v>
      </c>
    </row>
    <row r="144" spans="1:25" x14ac:dyDescent="0.25">
      <c r="A144" s="148">
        <f>Données!A144</f>
        <v>5640</v>
      </c>
      <c r="B144" s="156" t="str">
        <f>Données!B144</f>
        <v>Lussy-sur-Morges</v>
      </c>
      <c r="C144" s="321">
        <f>Données!C144</f>
        <v>719</v>
      </c>
      <c r="D144" s="336"/>
      <c r="E144" s="318">
        <f>Données!X144</f>
        <v>235</v>
      </c>
      <c r="F144" s="361">
        <f t="shared" si="26"/>
        <v>0.32684283727399166</v>
      </c>
      <c r="G144" s="336">
        <f t="shared" si="27"/>
        <v>561.60229428266098</v>
      </c>
      <c r="H144" s="344">
        <f t="shared" si="33"/>
        <v>0</v>
      </c>
      <c r="I144" s="362">
        <f t="shared" si="34"/>
        <v>0</v>
      </c>
      <c r="J144" s="357"/>
      <c r="K144" s="363">
        <f>Données!Y144</f>
        <v>0</v>
      </c>
      <c r="L144" s="324">
        <f>Données!Z144</f>
        <v>3.6999999999999998E-2</v>
      </c>
      <c r="M144" s="336">
        <f t="shared" si="28"/>
        <v>21.638229475766568</v>
      </c>
      <c r="N144" s="362">
        <f t="shared" si="29"/>
        <v>0</v>
      </c>
      <c r="O144" s="357"/>
      <c r="P144" s="318">
        <f>Données!AA144</f>
        <v>104</v>
      </c>
      <c r="Q144" s="359">
        <f>Données!AB144</f>
        <v>85</v>
      </c>
      <c r="R144" s="302">
        <f t="shared" si="30"/>
        <v>116.75</v>
      </c>
      <c r="S144" s="364">
        <f t="shared" si="31"/>
        <v>0.16237830319888735</v>
      </c>
      <c r="T144" s="344">
        <f t="shared" si="32"/>
        <v>98.088199320127714</v>
      </c>
      <c r="U144" s="344">
        <f t="shared" si="35"/>
        <v>18.661800679872286</v>
      </c>
      <c r="V144" s="362">
        <f t="shared" si="36"/>
        <v>-79373</v>
      </c>
      <c r="W144" s="436"/>
      <c r="X144" s="302">
        <f t="shared" si="37"/>
        <v>-54228.486646884267</v>
      </c>
      <c r="Y144" s="322">
        <f t="shared" si="38"/>
        <v>-25144.513353115733</v>
      </c>
    </row>
    <row r="145" spans="1:25" x14ac:dyDescent="0.25">
      <c r="A145" s="148">
        <f>Données!A145</f>
        <v>5642</v>
      </c>
      <c r="B145" s="156" t="str">
        <f>Données!B145</f>
        <v>Morges</v>
      </c>
      <c r="C145" s="321">
        <f>Données!C145</f>
        <v>17715</v>
      </c>
      <c r="D145" s="336"/>
      <c r="E145" s="318">
        <f>Données!X145</f>
        <v>385</v>
      </c>
      <c r="F145" s="361">
        <f t="shared" si="26"/>
        <v>2.173299463731301E-2</v>
      </c>
      <c r="G145" s="336">
        <f t="shared" si="27"/>
        <v>13836.974469008816</v>
      </c>
      <c r="H145" s="344">
        <f t="shared" si="33"/>
        <v>0</v>
      </c>
      <c r="I145" s="362">
        <f t="shared" si="34"/>
        <v>0</v>
      </c>
      <c r="J145" s="357"/>
      <c r="K145" s="363">
        <f>Données!Y145</f>
        <v>0</v>
      </c>
      <c r="L145" s="324">
        <f>Données!Z145</f>
        <v>5.2999999999999999E-2</v>
      </c>
      <c r="M145" s="336">
        <f t="shared" si="28"/>
        <v>30.995301681503463</v>
      </c>
      <c r="N145" s="362">
        <f t="shared" si="29"/>
        <v>0</v>
      </c>
      <c r="O145" s="357"/>
      <c r="P145" s="318">
        <f>Données!AA145</f>
        <v>1630</v>
      </c>
      <c r="Q145" s="359">
        <f>Données!AB145</f>
        <v>22</v>
      </c>
      <c r="R145" s="302">
        <f t="shared" si="30"/>
        <v>1633.3</v>
      </c>
      <c r="S145" s="364">
        <f t="shared" si="31"/>
        <v>9.2198701665255428E-2</v>
      </c>
      <c r="T145" s="344">
        <f t="shared" si="32"/>
        <v>2416.7349804674027</v>
      </c>
      <c r="U145" s="344">
        <f t="shared" si="35"/>
        <v>0</v>
      </c>
      <c r="V145" s="362">
        <f t="shared" si="36"/>
        <v>0</v>
      </c>
      <c r="W145" s="436"/>
      <c r="X145" s="302">
        <f t="shared" si="37"/>
        <v>0</v>
      </c>
      <c r="Y145" s="322">
        <f t="shared" si="38"/>
        <v>0</v>
      </c>
    </row>
    <row r="146" spans="1:25" x14ac:dyDescent="0.25">
      <c r="A146" s="148">
        <f>Données!A146</f>
        <v>5643</v>
      </c>
      <c r="B146" s="156" t="str">
        <f>Données!B146</f>
        <v>Préverenges</v>
      </c>
      <c r="C146" s="321">
        <f>Données!C146</f>
        <v>5273</v>
      </c>
      <c r="D146" s="336"/>
      <c r="E146" s="318">
        <f>Données!X146</f>
        <v>182</v>
      </c>
      <c r="F146" s="361">
        <f t="shared" si="26"/>
        <v>3.4515456097098426E-2</v>
      </c>
      <c r="G146" s="336">
        <f t="shared" si="27"/>
        <v>4118.6771874165106</v>
      </c>
      <c r="H146" s="344">
        <f t="shared" si="33"/>
        <v>0</v>
      </c>
      <c r="I146" s="362">
        <f t="shared" si="34"/>
        <v>0</v>
      </c>
      <c r="J146" s="357"/>
      <c r="K146" s="363">
        <f>Données!Y146</f>
        <v>0</v>
      </c>
      <c r="L146" s="324">
        <f>Données!Z146</f>
        <v>3.3000000000000002E-2</v>
      </c>
      <c r="M146" s="336">
        <f t="shared" si="28"/>
        <v>19.298961424332347</v>
      </c>
      <c r="N146" s="362">
        <f t="shared" si="29"/>
        <v>0</v>
      </c>
      <c r="O146" s="357"/>
      <c r="P146" s="318">
        <f>Données!AA146</f>
        <v>578</v>
      </c>
      <c r="Q146" s="359">
        <f>Données!AB146</f>
        <v>22</v>
      </c>
      <c r="R146" s="302">
        <f t="shared" si="30"/>
        <v>581.29999999999995</v>
      </c>
      <c r="S146" s="364">
        <f t="shared" si="31"/>
        <v>0.110240849611227</v>
      </c>
      <c r="T146" s="344">
        <f t="shared" si="32"/>
        <v>719.35893604316198</v>
      </c>
      <c r="U146" s="344">
        <f t="shared" si="35"/>
        <v>0</v>
      </c>
      <c r="V146" s="362">
        <f t="shared" si="36"/>
        <v>0</v>
      </c>
      <c r="W146" s="436"/>
      <c r="X146" s="302">
        <f t="shared" si="37"/>
        <v>0</v>
      </c>
      <c r="Y146" s="322">
        <f t="shared" si="38"/>
        <v>0</v>
      </c>
    </row>
    <row r="147" spans="1:25" x14ac:dyDescent="0.25">
      <c r="A147" s="148">
        <f>Données!A147</f>
        <v>5645</v>
      </c>
      <c r="B147" s="156" t="str">
        <f>Données!B147</f>
        <v>Romanel-sur-Morges</v>
      </c>
      <c r="C147" s="321">
        <f>Données!C147</f>
        <v>454</v>
      </c>
      <c r="D147" s="336"/>
      <c r="E147" s="318">
        <f>Données!X147</f>
        <v>170</v>
      </c>
      <c r="F147" s="361">
        <f t="shared" si="26"/>
        <v>0.37444933920704848</v>
      </c>
      <c r="G147" s="336">
        <f t="shared" si="27"/>
        <v>354.61396606999733</v>
      </c>
      <c r="H147" s="344">
        <f t="shared" si="33"/>
        <v>0</v>
      </c>
      <c r="I147" s="362">
        <f t="shared" si="34"/>
        <v>0</v>
      </c>
      <c r="J147" s="357"/>
      <c r="K147" s="363">
        <f>Données!Y147</f>
        <v>0</v>
      </c>
      <c r="L147" s="324">
        <f>Données!Z147</f>
        <v>7.9000000000000001E-2</v>
      </c>
      <c r="M147" s="336">
        <f t="shared" si="28"/>
        <v>46.200544015825919</v>
      </c>
      <c r="N147" s="362">
        <f t="shared" si="29"/>
        <v>0</v>
      </c>
      <c r="O147" s="357"/>
      <c r="P147" s="318">
        <f>Données!AA147</f>
        <v>29</v>
      </c>
      <c r="Q147" s="359">
        <f>Données!AB147</f>
        <v>16</v>
      </c>
      <c r="R147" s="302">
        <f t="shared" si="30"/>
        <v>31.4</v>
      </c>
      <c r="S147" s="364">
        <f t="shared" si="31"/>
        <v>6.9162995594713658E-2</v>
      </c>
      <c r="T147" s="344">
        <f t="shared" si="32"/>
        <v>61.936081350956862</v>
      </c>
      <c r="U147" s="344">
        <f t="shared" si="35"/>
        <v>0</v>
      </c>
      <c r="V147" s="362">
        <f t="shared" si="36"/>
        <v>0</v>
      </c>
      <c r="W147" s="436"/>
      <c r="X147" s="302">
        <f t="shared" si="37"/>
        <v>0</v>
      </c>
      <c r="Y147" s="322">
        <f t="shared" si="38"/>
        <v>0</v>
      </c>
    </row>
    <row r="148" spans="1:25" x14ac:dyDescent="0.25">
      <c r="A148" s="148">
        <f>Données!A148</f>
        <v>5646</v>
      </c>
      <c r="B148" s="156" t="str">
        <f>Données!B148</f>
        <v>Saint-Prex</v>
      </c>
      <c r="C148" s="321">
        <f>Données!C148</f>
        <v>5868</v>
      </c>
      <c r="D148" s="336"/>
      <c r="E148" s="318">
        <f>Données!X148</f>
        <v>551</v>
      </c>
      <c r="F148" s="361">
        <f t="shared" si="26"/>
        <v>9.3899113837764142E-2</v>
      </c>
      <c r="G148" s="336">
        <f t="shared" si="27"/>
        <v>4583.424565856265</v>
      </c>
      <c r="H148" s="344">
        <f t="shared" si="33"/>
        <v>0</v>
      </c>
      <c r="I148" s="362">
        <f t="shared" si="34"/>
        <v>0</v>
      </c>
      <c r="J148" s="357"/>
      <c r="K148" s="363">
        <f>Données!Y148</f>
        <v>0</v>
      </c>
      <c r="L148" s="324">
        <f>Données!Z148</f>
        <v>4.3999999999999997E-2</v>
      </c>
      <c r="M148" s="336">
        <f t="shared" si="28"/>
        <v>25.73194856577646</v>
      </c>
      <c r="N148" s="362">
        <f t="shared" si="29"/>
        <v>0</v>
      </c>
      <c r="O148" s="357"/>
      <c r="P148" s="318">
        <f>Données!AA148</f>
        <v>660</v>
      </c>
      <c r="Q148" s="359">
        <f>Données!AB148</f>
        <v>17</v>
      </c>
      <c r="R148" s="302">
        <f t="shared" si="30"/>
        <v>662.55</v>
      </c>
      <c r="S148" s="364">
        <f t="shared" si="31"/>
        <v>0.11290899795501022</v>
      </c>
      <c r="T148" s="344">
        <f t="shared" si="32"/>
        <v>800.53067261545129</v>
      </c>
      <c r="U148" s="344">
        <f t="shared" si="35"/>
        <v>0</v>
      </c>
      <c r="V148" s="362">
        <f t="shared" si="36"/>
        <v>0</v>
      </c>
      <c r="W148" s="436"/>
      <c r="X148" s="302">
        <f t="shared" si="37"/>
        <v>0</v>
      </c>
      <c r="Y148" s="322">
        <f t="shared" si="38"/>
        <v>0</v>
      </c>
    </row>
    <row r="149" spans="1:25" x14ac:dyDescent="0.25">
      <c r="A149" s="148">
        <f>Données!A149</f>
        <v>5648</v>
      </c>
      <c r="B149" s="156" t="str">
        <f>Données!B149</f>
        <v>Saint-Sulpice</v>
      </c>
      <c r="C149" s="321">
        <f>Données!C149</f>
        <v>5157</v>
      </c>
      <c r="D149" s="336"/>
      <c r="E149" s="318">
        <f>Données!X149</f>
        <v>181</v>
      </c>
      <c r="F149" s="361">
        <f t="shared" si="26"/>
        <v>3.5097925150281171E-2</v>
      </c>
      <c r="G149" s="336">
        <f t="shared" si="27"/>
        <v>4028.0709758215335</v>
      </c>
      <c r="H149" s="344">
        <f t="shared" si="33"/>
        <v>0</v>
      </c>
      <c r="I149" s="362">
        <f t="shared" si="34"/>
        <v>0</v>
      </c>
      <c r="J149" s="357"/>
      <c r="K149" s="363">
        <f>Données!Y149</f>
        <v>0</v>
      </c>
      <c r="L149" s="324">
        <f>Données!Z149</f>
        <v>3.6999999999999998E-2</v>
      </c>
      <c r="M149" s="336">
        <f t="shared" si="28"/>
        <v>21.638229475766568</v>
      </c>
      <c r="N149" s="362">
        <f t="shared" si="29"/>
        <v>0</v>
      </c>
      <c r="O149" s="357"/>
      <c r="P149" s="318">
        <f>Données!AA149</f>
        <v>463</v>
      </c>
      <c r="Q149" s="359">
        <f>Données!AB149</f>
        <v>104</v>
      </c>
      <c r="R149" s="302">
        <f t="shared" si="30"/>
        <v>478.6</v>
      </c>
      <c r="S149" s="364">
        <f t="shared" si="31"/>
        <v>9.2805894900135744E-2</v>
      </c>
      <c r="T149" s="344">
        <f t="shared" si="32"/>
        <v>703.53385798873251</v>
      </c>
      <c r="U149" s="344">
        <f t="shared" si="35"/>
        <v>0</v>
      </c>
      <c r="V149" s="362">
        <f t="shared" si="36"/>
        <v>0</v>
      </c>
      <c r="W149" s="436"/>
      <c r="X149" s="302">
        <f t="shared" si="37"/>
        <v>0</v>
      </c>
      <c r="Y149" s="322">
        <f t="shared" si="38"/>
        <v>0</v>
      </c>
    </row>
    <row r="150" spans="1:25" x14ac:dyDescent="0.25">
      <c r="A150" s="148">
        <f>Données!A150</f>
        <v>5649</v>
      </c>
      <c r="B150" s="156" t="str">
        <f>Données!B150</f>
        <v>Tolochenaz</v>
      </c>
      <c r="C150" s="321">
        <f>Données!C150</f>
        <v>1934</v>
      </c>
      <c r="D150" s="336"/>
      <c r="E150" s="318">
        <f>Données!X150</f>
        <v>157</v>
      </c>
      <c r="F150" s="361">
        <f t="shared" si="26"/>
        <v>8.1178903826266802E-2</v>
      </c>
      <c r="G150" s="336">
        <f t="shared" si="27"/>
        <v>1510.6242519369489</v>
      </c>
      <c r="H150" s="344">
        <f t="shared" si="33"/>
        <v>0</v>
      </c>
      <c r="I150" s="362">
        <f t="shared" si="34"/>
        <v>0</v>
      </c>
      <c r="J150" s="357"/>
      <c r="K150" s="363">
        <f>Données!Y150</f>
        <v>0</v>
      </c>
      <c r="L150" s="324">
        <f>Données!Z150</f>
        <v>5.3999999999999999E-2</v>
      </c>
      <c r="M150" s="336">
        <f t="shared" si="28"/>
        <v>31.580118694362021</v>
      </c>
      <c r="N150" s="362">
        <f t="shared" si="29"/>
        <v>0</v>
      </c>
      <c r="O150" s="357"/>
      <c r="P150" s="318">
        <f>Données!AA150</f>
        <v>227</v>
      </c>
      <c r="Q150" s="359">
        <f>Données!AB150</f>
        <v>77</v>
      </c>
      <c r="R150" s="302">
        <f t="shared" si="30"/>
        <v>238.55</v>
      </c>
      <c r="S150" s="364">
        <f t="shared" si="31"/>
        <v>0.12334539813857291</v>
      </c>
      <c r="T150" s="344">
        <f t="shared" si="32"/>
        <v>263.84224963160921</v>
      </c>
      <c r="U150" s="344">
        <f t="shared" si="35"/>
        <v>0</v>
      </c>
      <c r="V150" s="362">
        <f t="shared" si="36"/>
        <v>0</v>
      </c>
      <c r="W150" s="436"/>
      <c r="X150" s="302">
        <f t="shared" si="37"/>
        <v>0</v>
      </c>
      <c r="Y150" s="322">
        <f t="shared" si="38"/>
        <v>0</v>
      </c>
    </row>
    <row r="151" spans="1:25" x14ac:dyDescent="0.25">
      <c r="A151" s="148">
        <f>Données!A151</f>
        <v>5650</v>
      </c>
      <c r="B151" s="156" t="str">
        <f>Données!B151</f>
        <v>Vaux-sur-Morges</v>
      </c>
      <c r="C151" s="321">
        <f>Données!C151</f>
        <v>185</v>
      </c>
      <c r="D151" s="336"/>
      <c r="E151" s="318">
        <f>Données!X151</f>
        <v>210</v>
      </c>
      <c r="F151" s="361">
        <f t="shared" si="26"/>
        <v>1.1351351351351351</v>
      </c>
      <c r="G151" s="336">
        <f t="shared" si="27"/>
        <v>144.50128573336895</v>
      </c>
      <c r="H151" s="344">
        <f t="shared" si="33"/>
        <v>65.498714266631055</v>
      </c>
      <c r="I151" s="362">
        <f t="shared" si="34"/>
        <v>-6965</v>
      </c>
      <c r="J151" s="357"/>
      <c r="K151" s="363">
        <f>Données!Y151</f>
        <v>0</v>
      </c>
      <c r="L151" s="324">
        <f>Données!Z151</f>
        <v>4.3999999999999997E-2</v>
      </c>
      <c r="M151" s="336">
        <f t="shared" si="28"/>
        <v>25.73194856577646</v>
      </c>
      <c r="N151" s="362">
        <f t="shared" si="29"/>
        <v>0</v>
      </c>
      <c r="O151" s="357"/>
      <c r="P151" s="318">
        <f>Données!AA151</f>
        <v>18</v>
      </c>
      <c r="Q151" s="359">
        <f>Données!AB151</f>
        <v>9</v>
      </c>
      <c r="R151" s="302">
        <f t="shared" si="30"/>
        <v>19.350000000000001</v>
      </c>
      <c r="S151" s="364">
        <f t="shared" si="31"/>
        <v>0.10459459459459461</v>
      </c>
      <c r="T151" s="344">
        <f t="shared" si="32"/>
        <v>25.238271035081542</v>
      </c>
      <c r="U151" s="344">
        <f t="shared" si="35"/>
        <v>0</v>
      </c>
      <c r="V151" s="362">
        <f t="shared" si="36"/>
        <v>0</v>
      </c>
      <c r="W151" s="436"/>
      <c r="X151" s="302">
        <f t="shared" si="37"/>
        <v>0</v>
      </c>
      <c r="Y151" s="322">
        <f t="shared" si="38"/>
        <v>0</v>
      </c>
    </row>
    <row r="152" spans="1:25" x14ac:dyDescent="0.25">
      <c r="A152" s="148">
        <f>Données!A152</f>
        <v>5651</v>
      </c>
      <c r="B152" s="156" t="str">
        <f>Données!B152</f>
        <v>Villars-Sainte-Croix</v>
      </c>
      <c r="C152" s="321">
        <f>Données!C152</f>
        <v>955</v>
      </c>
      <c r="D152" s="336"/>
      <c r="E152" s="318">
        <f>Données!X152</f>
        <v>164</v>
      </c>
      <c r="F152" s="361">
        <f t="shared" si="26"/>
        <v>0.17172774869109947</v>
      </c>
      <c r="G152" s="336">
        <f t="shared" si="27"/>
        <v>745.93906959658023</v>
      </c>
      <c r="H152" s="344">
        <f t="shared" si="33"/>
        <v>0</v>
      </c>
      <c r="I152" s="362">
        <f t="shared" si="34"/>
        <v>0</v>
      </c>
      <c r="J152" s="357"/>
      <c r="K152" s="363">
        <f>Données!Y152</f>
        <v>0</v>
      </c>
      <c r="L152" s="324">
        <f>Données!Z152</f>
        <v>6.4000000000000001E-2</v>
      </c>
      <c r="M152" s="336">
        <f t="shared" si="28"/>
        <v>37.428288822947579</v>
      </c>
      <c r="N152" s="362">
        <f t="shared" si="29"/>
        <v>0</v>
      </c>
      <c r="O152" s="357"/>
      <c r="P152" s="318">
        <f>Données!AA152</f>
        <v>117</v>
      </c>
      <c r="Q152" s="359">
        <f>Données!AB152</f>
        <v>54</v>
      </c>
      <c r="R152" s="302">
        <f t="shared" si="30"/>
        <v>125.1</v>
      </c>
      <c r="S152" s="364">
        <f t="shared" si="31"/>
        <v>0.13099476439790575</v>
      </c>
      <c r="T152" s="344">
        <f t="shared" si="32"/>
        <v>130.28404777569119</v>
      </c>
      <c r="U152" s="344">
        <f t="shared" si="35"/>
        <v>0</v>
      </c>
      <c r="V152" s="362">
        <f t="shared" si="36"/>
        <v>0</v>
      </c>
      <c r="W152" s="436"/>
      <c r="X152" s="302">
        <f t="shared" si="37"/>
        <v>0</v>
      </c>
      <c r="Y152" s="322">
        <f t="shared" si="38"/>
        <v>0</v>
      </c>
    </row>
    <row r="153" spans="1:25" x14ac:dyDescent="0.25">
      <c r="A153" s="148">
        <f>Données!A153</f>
        <v>5652</v>
      </c>
      <c r="B153" s="156" t="str">
        <f>Données!B153</f>
        <v>Villars-sous-Yens</v>
      </c>
      <c r="C153" s="321">
        <f>Données!C153</f>
        <v>602</v>
      </c>
      <c r="D153" s="336"/>
      <c r="E153" s="318">
        <f>Données!X153</f>
        <v>307</v>
      </c>
      <c r="F153" s="361">
        <f t="shared" si="26"/>
        <v>0.50996677740863783</v>
      </c>
      <c r="G153" s="336">
        <f t="shared" si="27"/>
        <v>470.21499465669245</v>
      </c>
      <c r="H153" s="344">
        <f t="shared" si="33"/>
        <v>0</v>
      </c>
      <c r="I153" s="362">
        <f t="shared" si="34"/>
        <v>0</v>
      </c>
      <c r="J153" s="357"/>
      <c r="K153" s="363">
        <f>Données!Y153</f>
        <v>0</v>
      </c>
      <c r="L153" s="324">
        <f>Données!Z153</f>
        <v>3.9E-2</v>
      </c>
      <c r="M153" s="336">
        <f t="shared" si="28"/>
        <v>22.807863501483681</v>
      </c>
      <c r="N153" s="362">
        <f t="shared" si="29"/>
        <v>0</v>
      </c>
      <c r="O153" s="357"/>
      <c r="P153" s="318">
        <f>Données!AA153</f>
        <v>72</v>
      </c>
      <c r="Q153" s="359">
        <f>Données!AB153</f>
        <v>33</v>
      </c>
      <c r="R153" s="302">
        <f t="shared" si="30"/>
        <v>76.95</v>
      </c>
      <c r="S153" s="364">
        <f t="shared" si="31"/>
        <v>0.12782392026578074</v>
      </c>
      <c r="T153" s="344">
        <f t="shared" si="32"/>
        <v>82.1266981790221</v>
      </c>
      <c r="U153" s="344">
        <f t="shared" si="35"/>
        <v>0</v>
      </c>
      <c r="V153" s="362">
        <f t="shared" si="36"/>
        <v>0</v>
      </c>
      <c r="W153" s="436"/>
      <c r="X153" s="302">
        <f t="shared" si="37"/>
        <v>0</v>
      </c>
      <c r="Y153" s="322">
        <f t="shared" si="38"/>
        <v>0</v>
      </c>
    </row>
    <row r="154" spans="1:25" x14ac:dyDescent="0.25">
      <c r="A154" s="148">
        <f>Données!A154</f>
        <v>5653</v>
      </c>
      <c r="B154" s="156" t="str">
        <f>Données!B154</f>
        <v>Vufflens-le-Château</v>
      </c>
      <c r="C154" s="321">
        <f>Données!C154</f>
        <v>838</v>
      </c>
      <c r="D154" s="336"/>
      <c r="E154" s="318">
        <f>Données!X154</f>
        <v>216</v>
      </c>
      <c r="F154" s="361">
        <f t="shared" si="26"/>
        <v>0.25775656324582341</v>
      </c>
      <c r="G154" s="336">
        <f t="shared" si="27"/>
        <v>654.55176997061176</v>
      </c>
      <c r="H154" s="344">
        <f t="shared" si="33"/>
        <v>0</v>
      </c>
      <c r="I154" s="362">
        <f t="shared" si="34"/>
        <v>0</v>
      </c>
      <c r="J154" s="357"/>
      <c r="K154" s="363">
        <f>Données!Y154</f>
        <v>0</v>
      </c>
      <c r="L154" s="324">
        <f>Données!Z154</f>
        <v>7.8E-2</v>
      </c>
      <c r="M154" s="336">
        <f t="shared" si="28"/>
        <v>45.615727002967361</v>
      </c>
      <c r="N154" s="362">
        <f t="shared" si="29"/>
        <v>0</v>
      </c>
      <c r="O154" s="357"/>
      <c r="P154" s="318">
        <f>Données!AA154</f>
        <v>96</v>
      </c>
      <c r="Q154" s="359">
        <f>Données!AB154</f>
        <v>59</v>
      </c>
      <c r="R154" s="302">
        <f t="shared" si="30"/>
        <v>104.85</v>
      </c>
      <c r="S154" s="364">
        <f t="shared" si="31"/>
        <v>0.12511933174224343</v>
      </c>
      <c r="T154" s="344">
        <f t="shared" si="32"/>
        <v>114.32254663458558</v>
      </c>
      <c r="U154" s="344">
        <f t="shared" si="35"/>
        <v>0</v>
      </c>
      <c r="V154" s="362">
        <f t="shared" si="36"/>
        <v>0</v>
      </c>
      <c r="W154" s="436"/>
      <c r="X154" s="302">
        <f t="shared" si="37"/>
        <v>0</v>
      </c>
      <c r="Y154" s="322">
        <f t="shared" si="38"/>
        <v>0</v>
      </c>
    </row>
    <row r="155" spans="1:25" x14ac:dyDescent="0.25">
      <c r="A155" s="148">
        <f>Données!A155</f>
        <v>5654</v>
      </c>
      <c r="B155" s="156" t="str">
        <f>Données!B155</f>
        <v>Vullierens</v>
      </c>
      <c r="C155" s="321">
        <f>Données!C155</f>
        <v>548</v>
      </c>
      <c r="D155" s="336"/>
      <c r="E155" s="318">
        <f>Données!X155</f>
        <v>681</v>
      </c>
      <c r="F155" s="361">
        <f t="shared" si="26"/>
        <v>1.2427007299270072</v>
      </c>
      <c r="G155" s="336">
        <f t="shared" si="27"/>
        <v>428.03624098316857</v>
      </c>
      <c r="H155" s="344">
        <f t="shared" si="33"/>
        <v>252.96375901683143</v>
      </c>
      <c r="I155" s="362">
        <f t="shared" si="34"/>
        <v>-26898</v>
      </c>
      <c r="J155" s="357"/>
      <c r="K155" s="363">
        <f>Données!Y155</f>
        <v>0</v>
      </c>
      <c r="L155" s="324">
        <f>Données!Z155</f>
        <v>1.6E-2</v>
      </c>
      <c r="M155" s="336">
        <f t="shared" si="28"/>
        <v>9.3570722057368947</v>
      </c>
      <c r="N155" s="362">
        <f t="shared" si="29"/>
        <v>0</v>
      </c>
      <c r="O155" s="357"/>
      <c r="P155" s="318">
        <f>Données!AA155</f>
        <v>70</v>
      </c>
      <c r="Q155" s="359">
        <f>Données!AB155</f>
        <v>69</v>
      </c>
      <c r="R155" s="302">
        <f t="shared" si="30"/>
        <v>80.349999999999994</v>
      </c>
      <c r="S155" s="364">
        <f t="shared" si="31"/>
        <v>0.14662408759124088</v>
      </c>
      <c r="T155" s="344">
        <f t="shared" si="32"/>
        <v>74.759851498511807</v>
      </c>
      <c r="U155" s="344">
        <f t="shared" si="35"/>
        <v>5.5901485014881871</v>
      </c>
      <c r="V155" s="362">
        <f t="shared" si="36"/>
        <v>-23776</v>
      </c>
      <c r="W155" s="436"/>
      <c r="X155" s="302">
        <f t="shared" si="37"/>
        <v>-23776</v>
      </c>
      <c r="Y155" s="322">
        <f t="shared" si="38"/>
        <v>0</v>
      </c>
    </row>
    <row r="156" spans="1:25" x14ac:dyDescent="0.25">
      <c r="A156" s="148">
        <f>Données!A156</f>
        <v>5655</v>
      </c>
      <c r="B156" s="156" t="str">
        <f>Données!B156</f>
        <v>Yens</v>
      </c>
      <c r="C156" s="321">
        <f>Données!C156</f>
        <v>1502</v>
      </c>
      <c r="D156" s="336"/>
      <c r="E156" s="318">
        <f>Données!X156</f>
        <v>951</v>
      </c>
      <c r="F156" s="361">
        <f t="shared" si="26"/>
        <v>0.63315579227696406</v>
      </c>
      <c r="G156" s="336">
        <f t="shared" si="27"/>
        <v>1173.1942225487576</v>
      </c>
      <c r="H156" s="344">
        <f t="shared" si="33"/>
        <v>0</v>
      </c>
      <c r="I156" s="362">
        <f t="shared" si="34"/>
        <v>0</v>
      </c>
      <c r="J156" s="357"/>
      <c r="K156" s="363">
        <f>Données!Y156</f>
        <v>0</v>
      </c>
      <c r="L156" s="324">
        <f>Données!Z156</f>
        <v>4.2999999999999997E-2</v>
      </c>
      <c r="M156" s="336">
        <f t="shared" si="28"/>
        <v>25.147131552917902</v>
      </c>
      <c r="N156" s="362">
        <f t="shared" si="29"/>
        <v>0</v>
      </c>
      <c r="O156" s="357"/>
      <c r="P156" s="318">
        <f>Données!AA156</f>
        <v>191</v>
      </c>
      <c r="Q156" s="359">
        <f>Données!AB156</f>
        <v>65</v>
      </c>
      <c r="R156" s="302">
        <f t="shared" si="30"/>
        <v>200.75</v>
      </c>
      <c r="S156" s="364">
        <f t="shared" si="31"/>
        <v>0.13365512649800265</v>
      </c>
      <c r="T156" s="344">
        <f t="shared" si="32"/>
        <v>204.9074761875269</v>
      </c>
      <c r="U156" s="344">
        <f t="shared" si="35"/>
        <v>0</v>
      </c>
      <c r="V156" s="362">
        <f t="shared" si="36"/>
        <v>0</v>
      </c>
      <c r="W156" s="436"/>
      <c r="X156" s="302">
        <f t="shared" si="37"/>
        <v>0</v>
      </c>
      <c r="Y156" s="322">
        <f t="shared" si="38"/>
        <v>0</v>
      </c>
    </row>
    <row r="157" spans="1:25" x14ac:dyDescent="0.25">
      <c r="A157" s="148">
        <f>Données!A157</f>
        <v>5656</v>
      </c>
      <c r="B157" s="156" t="str">
        <f>Données!B157</f>
        <v>Hautemorges</v>
      </c>
      <c r="C157" s="321">
        <f>Données!C157</f>
        <v>4387</v>
      </c>
      <c r="D157" s="336"/>
      <c r="E157" s="318">
        <f>Données!X157</f>
        <v>3297</v>
      </c>
      <c r="F157" s="361">
        <f t="shared" si="26"/>
        <v>0.75153863688169587</v>
      </c>
      <c r="G157" s="336">
        <f t="shared" si="27"/>
        <v>3426.6331919583222</v>
      </c>
      <c r="H157" s="344">
        <f t="shared" si="33"/>
        <v>0</v>
      </c>
      <c r="I157" s="362">
        <f t="shared" si="34"/>
        <v>0</v>
      </c>
      <c r="J157" s="357"/>
      <c r="K157" s="363">
        <f>Données!Y157</f>
        <v>0</v>
      </c>
      <c r="L157" s="324">
        <f>Données!Z157</f>
        <v>1.7000000000000001E-2</v>
      </c>
      <c r="M157" s="336">
        <f t="shared" si="28"/>
        <v>9.9418892185954508</v>
      </c>
      <c r="N157" s="362">
        <f t="shared" si="29"/>
        <v>0</v>
      </c>
      <c r="O157" s="357"/>
      <c r="P157" s="318">
        <f>Données!AA157</f>
        <v>573</v>
      </c>
      <c r="Q157" s="359">
        <f>Données!AB157</f>
        <v>211</v>
      </c>
      <c r="R157" s="302">
        <f t="shared" si="30"/>
        <v>604.65</v>
      </c>
      <c r="S157" s="364">
        <f t="shared" si="31"/>
        <v>0.13782767266925006</v>
      </c>
      <c r="T157" s="344">
        <f t="shared" si="32"/>
        <v>598.48808124812285</v>
      </c>
      <c r="U157" s="344">
        <f t="shared" si="35"/>
        <v>6.1619187518771241</v>
      </c>
      <c r="V157" s="362">
        <f t="shared" si="36"/>
        <v>-26208</v>
      </c>
      <c r="W157" s="436"/>
      <c r="X157" s="302">
        <f t="shared" si="37"/>
        <v>-26208</v>
      </c>
      <c r="Y157" s="322">
        <f t="shared" si="38"/>
        <v>0</v>
      </c>
    </row>
    <row r="158" spans="1:25" x14ac:dyDescent="0.25">
      <c r="A158" s="148">
        <f>Données!A158</f>
        <v>5661</v>
      </c>
      <c r="B158" s="156" t="str">
        <f>Données!B158</f>
        <v>Boulens</v>
      </c>
      <c r="C158" s="321">
        <f>Données!C158</f>
        <v>368</v>
      </c>
      <c r="D158" s="336"/>
      <c r="E158" s="318">
        <f>Données!X158</f>
        <v>341</v>
      </c>
      <c r="F158" s="361">
        <f t="shared" si="26"/>
        <v>0.92663043478260865</v>
      </c>
      <c r="G158" s="336">
        <f t="shared" si="27"/>
        <v>287.44039540475552</v>
      </c>
      <c r="H158" s="344">
        <f t="shared" si="33"/>
        <v>53.55960459524448</v>
      </c>
      <c r="I158" s="362">
        <f t="shared" si="34"/>
        <v>-5695</v>
      </c>
      <c r="J158" s="357"/>
      <c r="K158" s="363">
        <f>Données!Y158</f>
        <v>0</v>
      </c>
      <c r="L158" s="324">
        <f>Données!Z158</f>
        <v>0.20799999999999999</v>
      </c>
      <c r="M158" s="336">
        <f t="shared" si="28"/>
        <v>121.64193867457962</v>
      </c>
      <c r="N158" s="362">
        <f t="shared" si="29"/>
        <v>0</v>
      </c>
      <c r="O158" s="357"/>
      <c r="P158" s="318">
        <f>Données!AA158</f>
        <v>54</v>
      </c>
      <c r="Q158" s="359">
        <f>Données!AB158</f>
        <v>52</v>
      </c>
      <c r="R158" s="302">
        <f t="shared" si="30"/>
        <v>61.8</v>
      </c>
      <c r="S158" s="364">
        <f t="shared" si="31"/>
        <v>0.16793478260869565</v>
      </c>
      <c r="T158" s="344">
        <f t="shared" si="32"/>
        <v>50.203695896810849</v>
      </c>
      <c r="U158" s="344">
        <f t="shared" si="35"/>
        <v>11.596304103189148</v>
      </c>
      <c r="V158" s="362">
        <f t="shared" si="36"/>
        <v>-49322</v>
      </c>
      <c r="W158" s="436"/>
      <c r="X158" s="302">
        <f t="shared" si="37"/>
        <v>-33175.074183976256</v>
      </c>
      <c r="Y158" s="322">
        <f t="shared" si="38"/>
        <v>-16146.925816023744</v>
      </c>
    </row>
    <row r="159" spans="1:25" x14ac:dyDescent="0.25">
      <c r="A159" s="148">
        <f>Données!A159</f>
        <v>5663</v>
      </c>
      <c r="B159" s="156" t="str">
        <f>Données!B159</f>
        <v>Bussy-sur-Moudon</v>
      </c>
      <c r="C159" s="321">
        <f>Données!C159</f>
        <v>262</v>
      </c>
      <c r="D159" s="336"/>
      <c r="E159" s="318">
        <f>Données!X159</f>
        <v>313</v>
      </c>
      <c r="F159" s="361">
        <f t="shared" si="26"/>
        <v>1.1946564885496183</v>
      </c>
      <c r="G159" s="336">
        <f t="shared" si="27"/>
        <v>204.64506411969009</v>
      </c>
      <c r="H159" s="344">
        <f t="shared" si="33"/>
        <v>108.35493588030991</v>
      </c>
      <c r="I159" s="362">
        <f t="shared" si="34"/>
        <v>-11521</v>
      </c>
      <c r="J159" s="357"/>
      <c r="K159" s="363">
        <f>Données!Y159</f>
        <v>0</v>
      </c>
      <c r="L159" s="324">
        <f>Données!Z159</f>
        <v>8.5000000000000006E-2</v>
      </c>
      <c r="M159" s="336">
        <f t="shared" si="28"/>
        <v>49.709446092977259</v>
      </c>
      <c r="N159" s="362">
        <f t="shared" si="29"/>
        <v>0</v>
      </c>
      <c r="O159" s="357"/>
      <c r="P159" s="318">
        <f>Données!AA159</f>
        <v>31</v>
      </c>
      <c r="Q159" s="359">
        <f>Données!AB159</f>
        <v>23</v>
      </c>
      <c r="R159" s="302">
        <f t="shared" si="30"/>
        <v>34.450000000000003</v>
      </c>
      <c r="S159" s="364">
        <f t="shared" si="31"/>
        <v>0.13148854961832063</v>
      </c>
      <c r="T159" s="344">
        <f t="shared" si="32"/>
        <v>35.742848709142507</v>
      </c>
      <c r="U159" s="344">
        <f t="shared" si="35"/>
        <v>0</v>
      </c>
      <c r="V159" s="362">
        <f t="shared" si="36"/>
        <v>0</v>
      </c>
      <c r="W159" s="436"/>
      <c r="X159" s="302">
        <f t="shared" si="37"/>
        <v>0</v>
      </c>
      <c r="Y159" s="322">
        <f t="shared" si="38"/>
        <v>0</v>
      </c>
    </row>
    <row r="160" spans="1:25" x14ac:dyDescent="0.25">
      <c r="A160" s="148">
        <f>Données!A160</f>
        <v>5665</v>
      </c>
      <c r="B160" s="156" t="str">
        <f>Données!B160</f>
        <v>Chavannes-sur-Moudon</v>
      </c>
      <c r="C160" s="321">
        <f>Données!C160</f>
        <v>229</v>
      </c>
      <c r="D160" s="336"/>
      <c r="E160" s="318">
        <f>Données!X160</f>
        <v>513</v>
      </c>
      <c r="F160" s="361">
        <f t="shared" si="26"/>
        <v>2.2401746724890828</v>
      </c>
      <c r="G160" s="336">
        <f t="shared" si="27"/>
        <v>178.86915909698104</v>
      </c>
      <c r="H160" s="344">
        <f t="shared" si="33"/>
        <v>334.13084090301896</v>
      </c>
      <c r="I160" s="362">
        <f t="shared" si="34"/>
        <v>-35528</v>
      </c>
      <c r="J160" s="357"/>
      <c r="K160" s="363">
        <f>Données!Y160</f>
        <v>18</v>
      </c>
      <c r="L160" s="324">
        <f>Données!Z160</f>
        <v>8.1000000000000003E-2</v>
      </c>
      <c r="M160" s="336">
        <f t="shared" si="28"/>
        <v>47.370178041543035</v>
      </c>
      <c r="N160" s="362">
        <f t="shared" si="29"/>
        <v>-853</v>
      </c>
      <c r="O160" s="357"/>
      <c r="P160" s="318">
        <f>Données!AA160</f>
        <v>20</v>
      </c>
      <c r="Q160" s="359">
        <f>Données!AB160</f>
        <v>20</v>
      </c>
      <c r="R160" s="302">
        <f t="shared" si="30"/>
        <v>23</v>
      </c>
      <c r="S160" s="364">
        <f t="shared" si="31"/>
        <v>0.10043668122270742</v>
      </c>
      <c r="T160" s="344">
        <f t="shared" si="32"/>
        <v>31.240886848830666</v>
      </c>
      <c r="U160" s="344">
        <f t="shared" si="35"/>
        <v>0</v>
      </c>
      <c r="V160" s="362">
        <f t="shared" si="36"/>
        <v>0</v>
      </c>
      <c r="W160" s="436"/>
      <c r="X160" s="302">
        <f t="shared" si="37"/>
        <v>0</v>
      </c>
      <c r="Y160" s="322">
        <f t="shared" si="38"/>
        <v>0</v>
      </c>
    </row>
    <row r="161" spans="1:25" x14ac:dyDescent="0.25">
      <c r="A161" s="148">
        <f>Données!A161</f>
        <v>5669</v>
      </c>
      <c r="B161" s="156" t="str">
        <f>Données!B161</f>
        <v>Curtilles</v>
      </c>
      <c r="C161" s="321">
        <f>Données!C161</f>
        <v>308</v>
      </c>
      <c r="D161" s="336"/>
      <c r="E161" s="318">
        <f>Données!X161</f>
        <v>494</v>
      </c>
      <c r="F161" s="361">
        <f t="shared" si="26"/>
        <v>1.6038961038961039</v>
      </c>
      <c r="G161" s="336">
        <f t="shared" si="27"/>
        <v>240.57511354528452</v>
      </c>
      <c r="H161" s="344">
        <f t="shared" si="33"/>
        <v>253.42488645471548</v>
      </c>
      <c r="I161" s="362">
        <f t="shared" si="34"/>
        <v>-26947</v>
      </c>
      <c r="J161" s="357"/>
      <c r="K161" s="363">
        <f>Données!Y161</f>
        <v>0</v>
      </c>
      <c r="L161" s="324">
        <f>Données!Z161</f>
        <v>0.10299999999999999</v>
      </c>
      <c r="M161" s="336">
        <f t="shared" si="28"/>
        <v>60.236152324431259</v>
      </c>
      <c r="N161" s="362">
        <f t="shared" si="29"/>
        <v>0</v>
      </c>
      <c r="O161" s="357"/>
      <c r="P161" s="318">
        <f>Données!AA161</f>
        <v>27</v>
      </c>
      <c r="Q161" s="359">
        <f>Données!AB161</f>
        <v>9</v>
      </c>
      <c r="R161" s="302">
        <f t="shared" si="30"/>
        <v>28.35</v>
      </c>
      <c r="S161" s="364">
        <f t="shared" si="31"/>
        <v>9.2045454545454555E-2</v>
      </c>
      <c r="T161" s="344">
        <f t="shared" si="32"/>
        <v>42.018310696243866</v>
      </c>
      <c r="U161" s="344">
        <f t="shared" si="35"/>
        <v>0</v>
      </c>
      <c r="V161" s="362">
        <f t="shared" si="36"/>
        <v>0</v>
      </c>
      <c r="W161" s="436"/>
      <c r="X161" s="302">
        <f t="shared" si="37"/>
        <v>0</v>
      </c>
      <c r="Y161" s="322">
        <f t="shared" si="38"/>
        <v>0</v>
      </c>
    </row>
    <row r="162" spans="1:25" x14ac:dyDescent="0.25">
      <c r="A162" s="148">
        <f>Données!A162</f>
        <v>5671</v>
      </c>
      <c r="B162" s="156" t="str">
        <f>Données!B162</f>
        <v>Dompierre</v>
      </c>
      <c r="C162" s="321">
        <f>Données!C162</f>
        <v>240</v>
      </c>
      <c r="D162" s="336"/>
      <c r="E162" s="318">
        <f>Données!X162</f>
        <v>325</v>
      </c>
      <c r="F162" s="361">
        <f t="shared" si="26"/>
        <v>1.3541666666666667</v>
      </c>
      <c r="G162" s="336">
        <f t="shared" si="27"/>
        <v>187.46112743788404</v>
      </c>
      <c r="H162" s="344">
        <f t="shared" si="33"/>
        <v>137.53887256211596</v>
      </c>
      <c r="I162" s="362">
        <f t="shared" si="34"/>
        <v>-14625</v>
      </c>
      <c r="J162" s="357"/>
      <c r="K162" s="363">
        <f>Données!Y162</f>
        <v>2</v>
      </c>
      <c r="L162" s="324">
        <f>Données!Z162</f>
        <v>5.8000000000000003E-2</v>
      </c>
      <c r="M162" s="336">
        <f t="shared" si="28"/>
        <v>33.919386745796245</v>
      </c>
      <c r="N162" s="362">
        <f t="shared" si="29"/>
        <v>-68</v>
      </c>
      <c r="O162" s="357"/>
      <c r="P162" s="318">
        <f>Données!AA162</f>
        <v>30</v>
      </c>
      <c r="Q162" s="359">
        <f>Données!AB162</f>
        <v>30</v>
      </c>
      <c r="R162" s="302">
        <f t="shared" si="30"/>
        <v>34.5</v>
      </c>
      <c r="S162" s="364">
        <f t="shared" si="31"/>
        <v>0.14374999999999999</v>
      </c>
      <c r="T162" s="344">
        <f t="shared" si="32"/>
        <v>32.741540802267949</v>
      </c>
      <c r="U162" s="344">
        <f t="shared" si="35"/>
        <v>1.7584591977320514</v>
      </c>
      <c r="V162" s="362">
        <f t="shared" si="36"/>
        <v>-7479</v>
      </c>
      <c r="W162" s="436"/>
      <c r="X162" s="302">
        <f t="shared" si="37"/>
        <v>-7479</v>
      </c>
      <c r="Y162" s="322">
        <f t="shared" si="38"/>
        <v>0</v>
      </c>
    </row>
    <row r="163" spans="1:25" x14ac:dyDescent="0.25">
      <c r="A163" s="148">
        <f>Données!A163</f>
        <v>5673</v>
      </c>
      <c r="B163" s="156" t="str">
        <f>Données!B163</f>
        <v>Hermenches</v>
      </c>
      <c r="C163" s="321">
        <f>Données!C163</f>
        <v>373</v>
      </c>
      <c r="D163" s="336"/>
      <c r="E163" s="318">
        <f>Données!X163</f>
        <v>478</v>
      </c>
      <c r="F163" s="361">
        <f t="shared" si="26"/>
        <v>1.2815013404825737</v>
      </c>
      <c r="G163" s="336">
        <f t="shared" si="27"/>
        <v>291.34583555971147</v>
      </c>
      <c r="H163" s="344">
        <f t="shared" si="33"/>
        <v>186.65416444028853</v>
      </c>
      <c r="I163" s="362">
        <f t="shared" si="34"/>
        <v>-19847</v>
      </c>
      <c r="J163" s="357"/>
      <c r="K163" s="363">
        <f>Données!Y163</f>
        <v>55</v>
      </c>
      <c r="L163" s="324">
        <f>Données!Z163</f>
        <v>0.156</v>
      </c>
      <c r="M163" s="336">
        <f t="shared" si="28"/>
        <v>91.231454005934722</v>
      </c>
      <c r="N163" s="362">
        <f t="shared" si="29"/>
        <v>-5018</v>
      </c>
      <c r="O163" s="357"/>
      <c r="P163" s="318">
        <f>Données!AA163</f>
        <v>36</v>
      </c>
      <c r="Q163" s="359">
        <f>Données!AB163</f>
        <v>36</v>
      </c>
      <c r="R163" s="302">
        <f t="shared" si="30"/>
        <v>41.4</v>
      </c>
      <c r="S163" s="364">
        <f t="shared" si="31"/>
        <v>0.11099195710455764</v>
      </c>
      <c r="T163" s="344">
        <f t="shared" si="32"/>
        <v>50.88581133019143</v>
      </c>
      <c r="U163" s="344">
        <f t="shared" si="35"/>
        <v>0</v>
      </c>
      <c r="V163" s="362">
        <f t="shared" si="36"/>
        <v>0</v>
      </c>
      <c r="W163" s="436"/>
      <c r="X163" s="302">
        <f t="shared" si="37"/>
        <v>0</v>
      </c>
      <c r="Y163" s="322">
        <f t="shared" si="38"/>
        <v>0</v>
      </c>
    </row>
    <row r="164" spans="1:25" x14ac:dyDescent="0.25">
      <c r="A164" s="148">
        <f>Données!A164</f>
        <v>5674</v>
      </c>
      <c r="B164" s="156" t="str">
        <f>Données!B164</f>
        <v>Lovatens</v>
      </c>
      <c r="C164" s="321">
        <f>Données!C164</f>
        <v>146</v>
      </c>
      <c r="D164" s="336"/>
      <c r="E164" s="318">
        <f>Données!X164</f>
        <v>347</v>
      </c>
      <c r="F164" s="361">
        <f t="shared" si="26"/>
        <v>2.3767123287671232</v>
      </c>
      <c r="G164" s="336">
        <f t="shared" si="27"/>
        <v>114.03885252471279</v>
      </c>
      <c r="H164" s="344">
        <f t="shared" si="33"/>
        <v>232.96114747528719</v>
      </c>
      <c r="I164" s="362">
        <f t="shared" si="34"/>
        <v>-24771</v>
      </c>
      <c r="J164" s="357"/>
      <c r="K164" s="363">
        <f>Données!Y164</f>
        <v>11</v>
      </c>
      <c r="L164" s="324">
        <f>Données!Z164</f>
        <v>8.8999999999999996E-2</v>
      </c>
      <c r="M164" s="336">
        <f t="shared" si="28"/>
        <v>52.048714144411477</v>
      </c>
      <c r="N164" s="362">
        <f t="shared" si="29"/>
        <v>-573</v>
      </c>
      <c r="O164" s="357"/>
      <c r="P164" s="318">
        <f>Données!AA164</f>
        <v>15</v>
      </c>
      <c r="Q164" s="359">
        <f>Données!AB164</f>
        <v>15</v>
      </c>
      <c r="R164" s="302">
        <f t="shared" si="30"/>
        <v>17.25</v>
      </c>
      <c r="S164" s="364">
        <f t="shared" si="31"/>
        <v>0.11815068493150685</v>
      </c>
      <c r="T164" s="344">
        <f t="shared" si="32"/>
        <v>19.917770654712999</v>
      </c>
      <c r="U164" s="344">
        <f t="shared" si="35"/>
        <v>0</v>
      </c>
      <c r="V164" s="362">
        <f t="shared" si="36"/>
        <v>0</v>
      </c>
      <c r="W164" s="436"/>
      <c r="X164" s="302">
        <f t="shared" si="37"/>
        <v>0</v>
      </c>
      <c r="Y164" s="322">
        <f t="shared" si="38"/>
        <v>0</v>
      </c>
    </row>
    <row r="165" spans="1:25" x14ac:dyDescent="0.25">
      <c r="A165" s="148">
        <f>Données!A165</f>
        <v>5675</v>
      </c>
      <c r="B165" s="156" t="str">
        <f>Données!B165</f>
        <v>Lucens</v>
      </c>
      <c r="C165" s="321">
        <f>Données!C165</f>
        <v>4734</v>
      </c>
      <c r="D165" s="336"/>
      <c r="E165" s="318">
        <f>Données!X165</f>
        <v>1907</v>
      </c>
      <c r="F165" s="361">
        <f t="shared" si="26"/>
        <v>0.40283058724123361</v>
      </c>
      <c r="G165" s="336">
        <f t="shared" si="27"/>
        <v>3697.6707387122628</v>
      </c>
      <c r="H165" s="344">
        <f t="shared" si="33"/>
        <v>0</v>
      </c>
      <c r="I165" s="362">
        <f t="shared" si="34"/>
        <v>0</v>
      </c>
      <c r="J165" s="357"/>
      <c r="K165" s="363">
        <f>Données!Y165</f>
        <v>146</v>
      </c>
      <c r="L165" s="324">
        <f>Données!Z165</f>
        <v>0.14499999999999999</v>
      </c>
      <c r="M165" s="336">
        <f t="shared" si="28"/>
        <v>84.798466864490607</v>
      </c>
      <c r="N165" s="362">
        <f t="shared" si="29"/>
        <v>-12381</v>
      </c>
      <c r="O165" s="357"/>
      <c r="P165" s="318">
        <f>Données!AA165</f>
        <v>645</v>
      </c>
      <c r="Q165" s="359">
        <f>Données!AB165</f>
        <v>233</v>
      </c>
      <c r="R165" s="302">
        <f t="shared" si="30"/>
        <v>679.95</v>
      </c>
      <c r="S165" s="364">
        <f t="shared" si="31"/>
        <v>0.14363117870722433</v>
      </c>
      <c r="T165" s="344">
        <f t="shared" si="32"/>
        <v>645.82689232473524</v>
      </c>
      <c r="U165" s="344">
        <f t="shared" si="35"/>
        <v>34.123107675264805</v>
      </c>
      <c r="V165" s="362">
        <f t="shared" si="36"/>
        <v>-145133</v>
      </c>
      <c r="W165" s="436"/>
      <c r="X165" s="302">
        <f t="shared" si="37"/>
        <v>-145133</v>
      </c>
      <c r="Y165" s="322">
        <f t="shared" si="38"/>
        <v>0</v>
      </c>
    </row>
    <row r="166" spans="1:25" x14ac:dyDescent="0.25">
      <c r="A166" s="148">
        <f>Données!A166</f>
        <v>5678</v>
      </c>
      <c r="B166" s="156" t="str">
        <f>Données!B166</f>
        <v>Moudon</v>
      </c>
      <c r="C166" s="321">
        <f>Données!C166</f>
        <v>6651</v>
      </c>
      <c r="D166" s="336"/>
      <c r="E166" s="318">
        <f>Données!X166</f>
        <v>1539</v>
      </c>
      <c r="F166" s="361">
        <f t="shared" si="26"/>
        <v>0.23139377537212449</v>
      </c>
      <c r="G166" s="336">
        <f t="shared" si="27"/>
        <v>5195.0164941223611</v>
      </c>
      <c r="H166" s="344">
        <f t="shared" si="33"/>
        <v>0</v>
      </c>
      <c r="I166" s="362">
        <f t="shared" si="34"/>
        <v>0</v>
      </c>
      <c r="J166" s="357"/>
      <c r="K166" s="363">
        <f>Données!Y166</f>
        <v>24</v>
      </c>
      <c r="L166" s="324">
        <f>Données!Z166</f>
        <v>0.25600000000000001</v>
      </c>
      <c r="M166" s="336">
        <f t="shared" si="28"/>
        <v>149.71315529179032</v>
      </c>
      <c r="N166" s="362">
        <f t="shared" si="29"/>
        <v>-3593</v>
      </c>
      <c r="O166" s="357"/>
      <c r="P166" s="318">
        <f>Données!AA166</f>
        <v>1011</v>
      </c>
      <c r="Q166" s="359">
        <f>Données!AB166</f>
        <v>30</v>
      </c>
      <c r="R166" s="302">
        <f t="shared" si="30"/>
        <v>1015.5</v>
      </c>
      <c r="S166" s="364">
        <f t="shared" si="31"/>
        <v>0.15268380694632386</v>
      </c>
      <c r="T166" s="344">
        <f t="shared" si="32"/>
        <v>907.34994948285043</v>
      </c>
      <c r="U166" s="344">
        <f t="shared" si="35"/>
        <v>108.15005051714957</v>
      </c>
      <c r="V166" s="362">
        <f t="shared" si="36"/>
        <v>-459985</v>
      </c>
      <c r="W166" s="436"/>
      <c r="X166" s="302">
        <f t="shared" si="37"/>
        <v>-19139.465875370919</v>
      </c>
      <c r="Y166" s="322">
        <f t="shared" si="38"/>
        <v>-440845.53412462911</v>
      </c>
    </row>
    <row r="167" spans="1:25" x14ac:dyDescent="0.25">
      <c r="A167" s="148">
        <f>Données!A167</f>
        <v>5680</v>
      </c>
      <c r="B167" s="156" t="str">
        <f>Données!B167</f>
        <v>Ogens</v>
      </c>
      <c r="C167" s="321">
        <f>Données!C167</f>
        <v>341</v>
      </c>
      <c r="D167" s="336"/>
      <c r="E167" s="318">
        <f>Données!X167</f>
        <v>337</v>
      </c>
      <c r="F167" s="361">
        <f t="shared" si="26"/>
        <v>0.98826979472140764</v>
      </c>
      <c r="G167" s="336">
        <f t="shared" si="27"/>
        <v>266.35101856799361</v>
      </c>
      <c r="H167" s="344">
        <f t="shared" si="33"/>
        <v>70.648981432006394</v>
      </c>
      <c r="I167" s="362">
        <f t="shared" si="34"/>
        <v>-7512</v>
      </c>
      <c r="J167" s="357"/>
      <c r="K167" s="363">
        <f>Données!Y167</f>
        <v>0</v>
      </c>
      <c r="L167" s="324">
        <f>Données!Z167</f>
        <v>0.16900000000000001</v>
      </c>
      <c r="M167" s="336">
        <f t="shared" si="28"/>
        <v>98.834075173095954</v>
      </c>
      <c r="N167" s="362">
        <f t="shared" si="29"/>
        <v>0</v>
      </c>
      <c r="O167" s="357"/>
      <c r="P167" s="318">
        <f>Données!AA167</f>
        <v>61</v>
      </c>
      <c r="Q167" s="359">
        <f>Données!AB167</f>
        <v>60</v>
      </c>
      <c r="R167" s="302">
        <f t="shared" si="30"/>
        <v>70</v>
      </c>
      <c r="S167" s="364">
        <f t="shared" si="31"/>
        <v>0.20527859237536658</v>
      </c>
      <c r="T167" s="344">
        <f t="shared" si="32"/>
        <v>46.520272556555703</v>
      </c>
      <c r="U167" s="344">
        <f t="shared" si="35"/>
        <v>23.479727443444297</v>
      </c>
      <c r="V167" s="362">
        <f t="shared" si="36"/>
        <v>-99864</v>
      </c>
      <c r="W167" s="436"/>
      <c r="X167" s="302">
        <f t="shared" si="37"/>
        <v>-38278.931750741838</v>
      </c>
      <c r="Y167" s="322">
        <f t="shared" si="38"/>
        <v>-61585.068249258162</v>
      </c>
    </row>
    <row r="168" spans="1:25" x14ac:dyDescent="0.25">
      <c r="A168" s="148">
        <f>Données!A168</f>
        <v>5683</v>
      </c>
      <c r="B168" s="156" t="str">
        <f>Données!B168</f>
        <v>Prévonloup</v>
      </c>
      <c r="C168" s="321">
        <f>Données!C168</f>
        <v>231</v>
      </c>
      <c r="D168" s="336"/>
      <c r="E168" s="318">
        <f>Données!X168</f>
        <v>181</v>
      </c>
      <c r="F168" s="361">
        <f t="shared" si="26"/>
        <v>0.78354978354978355</v>
      </c>
      <c r="G168" s="336">
        <f t="shared" si="27"/>
        <v>180.43133515896338</v>
      </c>
      <c r="H168" s="344">
        <f t="shared" si="33"/>
        <v>0.56866484103662174</v>
      </c>
      <c r="I168" s="362">
        <f t="shared" si="34"/>
        <v>-60</v>
      </c>
      <c r="J168" s="357"/>
      <c r="K168" s="363">
        <f>Données!Y168</f>
        <v>231</v>
      </c>
      <c r="L168" s="324">
        <f>Données!Z168</f>
        <v>5.0000000000000001E-3</v>
      </c>
      <c r="M168" s="336">
        <f t="shared" si="28"/>
        <v>2.9240850642927798</v>
      </c>
      <c r="N168" s="362">
        <f t="shared" si="29"/>
        <v>-675</v>
      </c>
      <c r="O168" s="357"/>
      <c r="P168" s="318">
        <f>Données!AA168</f>
        <v>29</v>
      </c>
      <c r="Q168" s="359">
        <f>Données!AB168</f>
        <v>29</v>
      </c>
      <c r="R168" s="302">
        <f t="shared" si="30"/>
        <v>33.35</v>
      </c>
      <c r="S168" s="364">
        <f t="shared" si="31"/>
        <v>0.14437229437229437</v>
      </c>
      <c r="T168" s="344">
        <f t="shared" si="32"/>
        <v>31.513733022182898</v>
      </c>
      <c r="U168" s="344">
        <f t="shared" si="35"/>
        <v>1.8362669778171039</v>
      </c>
      <c r="V168" s="362">
        <f t="shared" si="36"/>
        <v>-7810</v>
      </c>
      <c r="W168" s="436"/>
      <c r="X168" s="302">
        <f t="shared" si="37"/>
        <v>-7810</v>
      </c>
      <c r="Y168" s="322">
        <f t="shared" si="38"/>
        <v>0</v>
      </c>
    </row>
    <row r="169" spans="1:25" x14ac:dyDescent="0.25">
      <c r="A169" s="148">
        <f>Données!A169</f>
        <v>5684</v>
      </c>
      <c r="B169" s="156" t="str">
        <f>Données!B169</f>
        <v>Rossenges</v>
      </c>
      <c r="C169" s="321">
        <f>Données!C169</f>
        <v>90</v>
      </c>
      <c r="D169" s="336"/>
      <c r="E169" s="318">
        <f>Données!X169</f>
        <v>106</v>
      </c>
      <c r="F169" s="361">
        <f t="shared" si="26"/>
        <v>1.1777777777777778</v>
      </c>
      <c r="G169" s="336">
        <f t="shared" si="27"/>
        <v>70.29792278920651</v>
      </c>
      <c r="H169" s="344">
        <f t="shared" si="33"/>
        <v>35.70207721079349</v>
      </c>
      <c r="I169" s="362">
        <f t="shared" si="34"/>
        <v>-3796</v>
      </c>
      <c r="J169" s="357"/>
      <c r="K169" s="363">
        <f>Données!Y169</f>
        <v>0</v>
      </c>
      <c r="L169" s="324">
        <f>Données!Z169</f>
        <v>6.3E-2</v>
      </c>
      <c r="M169" s="336">
        <f t="shared" si="28"/>
        <v>36.843471810089021</v>
      </c>
      <c r="N169" s="362">
        <f t="shared" si="29"/>
        <v>0</v>
      </c>
      <c r="O169" s="357"/>
      <c r="P169" s="318">
        <f>Données!AA169</f>
        <v>6</v>
      </c>
      <c r="Q169" s="359">
        <f>Données!AB169</f>
        <v>6</v>
      </c>
      <c r="R169" s="302">
        <f t="shared" si="30"/>
        <v>6.9</v>
      </c>
      <c r="S169" s="364">
        <f t="shared" si="31"/>
        <v>7.6666666666666675E-2</v>
      </c>
      <c r="T169" s="344">
        <f t="shared" si="32"/>
        <v>12.278077800850479</v>
      </c>
      <c r="U169" s="344">
        <f t="shared" si="35"/>
        <v>0</v>
      </c>
      <c r="V169" s="362">
        <f t="shared" si="36"/>
        <v>0</v>
      </c>
      <c r="W169" s="436"/>
      <c r="X169" s="302">
        <f t="shared" si="37"/>
        <v>0</v>
      </c>
      <c r="Y169" s="322">
        <f t="shared" si="38"/>
        <v>0</v>
      </c>
    </row>
    <row r="170" spans="1:25" x14ac:dyDescent="0.25">
      <c r="A170" s="148">
        <f>Données!A170</f>
        <v>5688</v>
      </c>
      <c r="B170" s="156" t="str">
        <f>Données!B170</f>
        <v>Syens</v>
      </c>
      <c r="C170" s="321">
        <f>Données!C170</f>
        <v>151</v>
      </c>
      <c r="D170" s="336"/>
      <c r="E170" s="318">
        <f>Données!X170</f>
        <v>251</v>
      </c>
      <c r="F170" s="361">
        <f t="shared" si="26"/>
        <v>1.6622516556291391</v>
      </c>
      <c r="G170" s="336">
        <f t="shared" si="27"/>
        <v>117.94429267966871</v>
      </c>
      <c r="H170" s="344">
        <f t="shared" si="33"/>
        <v>133.05570732033129</v>
      </c>
      <c r="I170" s="362">
        <f t="shared" si="34"/>
        <v>-14148</v>
      </c>
      <c r="J170" s="357"/>
      <c r="K170" s="363">
        <f>Données!Y170</f>
        <v>0</v>
      </c>
      <c r="L170" s="324">
        <f>Données!Z170</f>
        <v>0.21199999999999999</v>
      </c>
      <c r="M170" s="336">
        <f t="shared" si="28"/>
        <v>123.98120672601385</v>
      </c>
      <c r="N170" s="362">
        <f t="shared" si="29"/>
        <v>0</v>
      </c>
      <c r="O170" s="357"/>
      <c r="P170" s="318">
        <f>Données!AA170</f>
        <v>16</v>
      </c>
      <c r="Q170" s="359">
        <f>Données!AB170</f>
        <v>16</v>
      </c>
      <c r="R170" s="302">
        <f t="shared" si="30"/>
        <v>18.399999999999999</v>
      </c>
      <c r="S170" s="364">
        <f t="shared" si="31"/>
        <v>0.12185430463576158</v>
      </c>
      <c r="T170" s="344">
        <f t="shared" si="32"/>
        <v>20.599886088093584</v>
      </c>
      <c r="U170" s="344">
        <f t="shared" si="35"/>
        <v>0</v>
      </c>
      <c r="V170" s="362">
        <f t="shared" si="36"/>
        <v>0</v>
      </c>
      <c r="W170" s="436"/>
      <c r="X170" s="302">
        <f t="shared" si="37"/>
        <v>0</v>
      </c>
      <c r="Y170" s="322">
        <f t="shared" si="38"/>
        <v>0</v>
      </c>
    </row>
    <row r="171" spans="1:25" x14ac:dyDescent="0.25">
      <c r="A171" s="148">
        <f>Données!A171</f>
        <v>5690</v>
      </c>
      <c r="B171" s="156" t="str">
        <f>Données!B171</f>
        <v>Villars-le-Comte</v>
      </c>
      <c r="C171" s="321">
        <f>Données!C171</f>
        <v>132</v>
      </c>
      <c r="D171" s="336"/>
      <c r="E171" s="318">
        <f>Données!X171</f>
        <v>419</v>
      </c>
      <c r="F171" s="361">
        <f t="shared" si="26"/>
        <v>3.1742424242424243</v>
      </c>
      <c r="G171" s="336">
        <f t="shared" si="27"/>
        <v>103.10362009083623</v>
      </c>
      <c r="H171" s="344">
        <f t="shared" si="33"/>
        <v>315.89637990916378</v>
      </c>
      <c r="I171" s="362">
        <f t="shared" si="34"/>
        <v>-33589</v>
      </c>
      <c r="J171" s="357"/>
      <c r="K171" s="363">
        <f>Données!Y171</f>
        <v>127</v>
      </c>
      <c r="L171" s="324">
        <f>Données!Z171</f>
        <v>4.2000000000000003E-2</v>
      </c>
      <c r="M171" s="336">
        <f t="shared" si="28"/>
        <v>24.562314540059351</v>
      </c>
      <c r="N171" s="362">
        <f t="shared" si="29"/>
        <v>-3119</v>
      </c>
      <c r="O171" s="357"/>
      <c r="P171" s="318">
        <f>Données!AA171</f>
        <v>13</v>
      </c>
      <c r="Q171" s="359">
        <f>Données!AB171</f>
        <v>13</v>
      </c>
      <c r="R171" s="302">
        <f t="shared" si="30"/>
        <v>14.95</v>
      </c>
      <c r="S171" s="364">
        <f t="shared" si="31"/>
        <v>0.11325757575757575</v>
      </c>
      <c r="T171" s="344">
        <f t="shared" si="32"/>
        <v>18.007847441247371</v>
      </c>
      <c r="U171" s="344">
        <f t="shared" si="35"/>
        <v>0</v>
      </c>
      <c r="V171" s="362">
        <f t="shared" si="36"/>
        <v>0</v>
      </c>
      <c r="W171" s="436"/>
      <c r="X171" s="302">
        <f t="shared" si="37"/>
        <v>0</v>
      </c>
      <c r="Y171" s="322">
        <f t="shared" si="38"/>
        <v>0</v>
      </c>
    </row>
    <row r="172" spans="1:25" x14ac:dyDescent="0.25">
      <c r="A172" s="148">
        <f>Données!A172</f>
        <v>5692</v>
      </c>
      <c r="B172" s="156" t="str">
        <f>Données!B172</f>
        <v>Vucherens</v>
      </c>
      <c r="C172" s="321">
        <f>Données!C172</f>
        <v>622</v>
      </c>
      <c r="D172" s="336"/>
      <c r="E172" s="318">
        <f>Données!X172</f>
        <v>323</v>
      </c>
      <c r="F172" s="361">
        <f t="shared" si="26"/>
        <v>0.51929260450160775</v>
      </c>
      <c r="G172" s="336">
        <f t="shared" si="27"/>
        <v>485.83675527651616</v>
      </c>
      <c r="H172" s="344">
        <f t="shared" si="33"/>
        <v>0</v>
      </c>
      <c r="I172" s="362">
        <f t="shared" si="34"/>
        <v>0</v>
      </c>
      <c r="J172" s="357"/>
      <c r="K172" s="363">
        <f>Données!Y172</f>
        <v>119</v>
      </c>
      <c r="L172" s="324">
        <f>Données!Z172</f>
        <v>0.14699999999999999</v>
      </c>
      <c r="M172" s="336">
        <f t="shared" si="28"/>
        <v>85.968100890207722</v>
      </c>
      <c r="N172" s="362">
        <f t="shared" si="29"/>
        <v>-10230</v>
      </c>
      <c r="O172" s="357"/>
      <c r="P172" s="318">
        <f>Données!AA172</f>
        <v>92</v>
      </c>
      <c r="Q172" s="359">
        <f>Données!AB172</f>
        <v>80</v>
      </c>
      <c r="R172" s="302">
        <f t="shared" si="30"/>
        <v>104</v>
      </c>
      <c r="S172" s="364">
        <f t="shared" si="31"/>
        <v>0.16720257234726688</v>
      </c>
      <c r="T172" s="344">
        <f t="shared" si="32"/>
        <v>84.855159912544423</v>
      </c>
      <c r="U172" s="344">
        <f t="shared" si="35"/>
        <v>19.144840087455577</v>
      </c>
      <c r="V172" s="362">
        <f t="shared" si="36"/>
        <v>-81427</v>
      </c>
      <c r="W172" s="436"/>
      <c r="X172" s="302">
        <f t="shared" si="37"/>
        <v>-51038.575667655779</v>
      </c>
      <c r="Y172" s="322">
        <f t="shared" si="38"/>
        <v>-30388.424332344221</v>
      </c>
    </row>
    <row r="173" spans="1:25" x14ac:dyDescent="0.25">
      <c r="A173" s="148">
        <f>Données!A173</f>
        <v>5693</v>
      </c>
      <c r="B173" s="156" t="str">
        <f>Données!B173</f>
        <v>Montanaire</v>
      </c>
      <c r="C173" s="321">
        <f>Données!C173</f>
        <v>2861</v>
      </c>
      <c r="D173" s="336"/>
      <c r="E173" s="318">
        <f>Données!X173</f>
        <v>3342</v>
      </c>
      <c r="F173" s="361">
        <f t="shared" si="26"/>
        <v>1.1681230339042292</v>
      </c>
      <c r="G173" s="336">
        <f t="shared" si="27"/>
        <v>2234.6928566657762</v>
      </c>
      <c r="H173" s="344">
        <f t="shared" si="33"/>
        <v>1107.3071433342238</v>
      </c>
      <c r="I173" s="362">
        <f t="shared" si="34"/>
        <v>-117740</v>
      </c>
      <c r="J173" s="357"/>
      <c r="K173" s="363">
        <f>Données!Y173</f>
        <v>2598</v>
      </c>
      <c r="L173" s="324">
        <f>Données!Z173</f>
        <v>6.7000000000000004E-2</v>
      </c>
      <c r="M173" s="336">
        <f t="shared" si="28"/>
        <v>39.182739861523253</v>
      </c>
      <c r="N173" s="362">
        <f t="shared" si="29"/>
        <v>-101797</v>
      </c>
      <c r="O173" s="357"/>
      <c r="P173" s="318">
        <f>Données!AA173</f>
        <v>380</v>
      </c>
      <c r="Q173" s="359">
        <f>Données!AB173</f>
        <v>251</v>
      </c>
      <c r="R173" s="302">
        <f t="shared" si="30"/>
        <v>417.65</v>
      </c>
      <c r="S173" s="364">
        <f t="shared" si="31"/>
        <v>0.14598042642432715</v>
      </c>
      <c r="T173" s="344">
        <f t="shared" si="32"/>
        <v>390.30645098036911</v>
      </c>
      <c r="U173" s="344">
        <f t="shared" si="35"/>
        <v>27.343549019630871</v>
      </c>
      <c r="V173" s="362">
        <f t="shared" si="36"/>
        <v>-116298</v>
      </c>
      <c r="W173" s="436"/>
      <c r="X173" s="302">
        <f t="shared" si="37"/>
        <v>-116298</v>
      </c>
      <c r="Y173" s="322">
        <f t="shared" si="38"/>
        <v>0</v>
      </c>
    </row>
    <row r="174" spans="1:25" x14ac:dyDescent="0.25">
      <c r="A174" s="148">
        <f>Données!A174</f>
        <v>5701</v>
      </c>
      <c r="B174" s="156" t="str">
        <f>Données!B174</f>
        <v>Arnex-sur-Nyon</v>
      </c>
      <c r="C174" s="321">
        <f>Données!C174</f>
        <v>267</v>
      </c>
      <c r="D174" s="336"/>
      <c r="E174" s="318">
        <f>Données!X174</f>
        <v>208</v>
      </c>
      <c r="F174" s="361">
        <f t="shared" si="26"/>
        <v>0.77902621722846443</v>
      </c>
      <c r="G174" s="336">
        <f t="shared" si="27"/>
        <v>208.55050427464599</v>
      </c>
      <c r="H174" s="344">
        <f t="shared" si="33"/>
        <v>0</v>
      </c>
      <c r="I174" s="362">
        <f t="shared" si="34"/>
        <v>0</v>
      </c>
      <c r="J174" s="357"/>
      <c r="K174" s="363">
        <f>Données!Y174</f>
        <v>0</v>
      </c>
      <c r="L174" s="324">
        <f>Données!Z174</f>
        <v>2.9000000000000001E-2</v>
      </c>
      <c r="M174" s="336">
        <f t="shared" si="28"/>
        <v>16.959693372898123</v>
      </c>
      <c r="N174" s="362">
        <f t="shared" si="29"/>
        <v>0</v>
      </c>
      <c r="O174" s="357"/>
      <c r="P174" s="318">
        <f>Données!AA174</f>
        <v>21</v>
      </c>
      <c r="Q174" s="359">
        <f>Données!AB174</f>
        <v>5</v>
      </c>
      <c r="R174" s="302">
        <f t="shared" si="30"/>
        <v>21.75</v>
      </c>
      <c r="S174" s="364">
        <f t="shared" si="31"/>
        <v>8.1460674157303375E-2</v>
      </c>
      <c r="T174" s="344">
        <f t="shared" si="32"/>
        <v>36.424964142523088</v>
      </c>
      <c r="U174" s="344">
        <f t="shared" si="35"/>
        <v>0</v>
      </c>
      <c r="V174" s="362">
        <f t="shared" si="36"/>
        <v>0</v>
      </c>
      <c r="W174" s="436"/>
      <c r="X174" s="302">
        <f t="shared" si="37"/>
        <v>0</v>
      </c>
      <c r="Y174" s="322">
        <f t="shared" si="38"/>
        <v>0</v>
      </c>
    </row>
    <row r="175" spans="1:25" x14ac:dyDescent="0.25">
      <c r="A175" s="148">
        <f>Données!A175</f>
        <v>5702</v>
      </c>
      <c r="B175" s="156" t="str">
        <f>Données!B175</f>
        <v>Arzier-Le Muids</v>
      </c>
      <c r="C175" s="321">
        <f>Données!C175</f>
        <v>2968</v>
      </c>
      <c r="D175" s="336"/>
      <c r="E175" s="318">
        <f>Données!X175</f>
        <v>5165</v>
      </c>
      <c r="F175" s="361">
        <f t="shared" si="26"/>
        <v>1.7402291105121295</v>
      </c>
      <c r="G175" s="336">
        <f t="shared" si="27"/>
        <v>2318.2692759818328</v>
      </c>
      <c r="H175" s="344">
        <f t="shared" si="33"/>
        <v>2846.7307240181672</v>
      </c>
      <c r="I175" s="362">
        <f t="shared" si="34"/>
        <v>-302694</v>
      </c>
      <c r="J175" s="357"/>
      <c r="K175" s="363">
        <f>Données!Y175</f>
        <v>2398</v>
      </c>
      <c r="L175" s="324">
        <f>Données!Z175</f>
        <v>0.251</v>
      </c>
      <c r="M175" s="336">
        <f t="shared" si="28"/>
        <v>146.78907022749755</v>
      </c>
      <c r="N175" s="362">
        <f t="shared" si="29"/>
        <v>-352000</v>
      </c>
      <c r="O175" s="357"/>
      <c r="P175" s="318">
        <f>Données!AA175</f>
        <v>381</v>
      </c>
      <c r="Q175" s="359">
        <f>Données!AB175</f>
        <v>169</v>
      </c>
      <c r="R175" s="302">
        <f t="shared" si="30"/>
        <v>406.35</v>
      </c>
      <c r="S175" s="364">
        <f t="shared" si="31"/>
        <v>0.13691037735849057</v>
      </c>
      <c r="T175" s="344">
        <f t="shared" si="32"/>
        <v>404.90372125471362</v>
      </c>
      <c r="U175" s="344">
        <f t="shared" si="35"/>
        <v>1.4462787452864063</v>
      </c>
      <c r="V175" s="362">
        <f t="shared" si="36"/>
        <v>-6151</v>
      </c>
      <c r="W175" s="436"/>
      <c r="X175" s="302">
        <f t="shared" si="37"/>
        <v>-6151</v>
      </c>
      <c r="Y175" s="322">
        <f t="shared" si="38"/>
        <v>0</v>
      </c>
    </row>
    <row r="176" spans="1:25" x14ac:dyDescent="0.25">
      <c r="A176" s="148">
        <f>Données!A176</f>
        <v>5703</v>
      </c>
      <c r="B176" s="156" t="str">
        <f>Données!B176</f>
        <v>Bassins</v>
      </c>
      <c r="C176" s="321">
        <f>Données!C176</f>
        <v>1484</v>
      </c>
      <c r="D176" s="336"/>
      <c r="E176" s="318">
        <f>Données!X176</f>
        <v>2078</v>
      </c>
      <c r="F176" s="361">
        <f t="shared" si="26"/>
        <v>1.4002695417789757</v>
      </c>
      <c r="G176" s="336">
        <f t="shared" si="27"/>
        <v>1159.1346379909164</v>
      </c>
      <c r="H176" s="344">
        <f t="shared" si="33"/>
        <v>918.86536200908358</v>
      </c>
      <c r="I176" s="362">
        <f t="shared" si="34"/>
        <v>-97703</v>
      </c>
      <c r="J176" s="357"/>
      <c r="K176" s="363">
        <f>Données!Y176</f>
        <v>1202</v>
      </c>
      <c r="L176" s="324">
        <f>Données!Z176</f>
        <v>0.20699999999999999</v>
      </c>
      <c r="M176" s="336">
        <f t="shared" si="28"/>
        <v>121.05712166172107</v>
      </c>
      <c r="N176" s="362">
        <f t="shared" si="29"/>
        <v>-145511</v>
      </c>
      <c r="O176" s="357"/>
      <c r="P176" s="318">
        <f>Données!AA176</f>
        <v>159</v>
      </c>
      <c r="Q176" s="359">
        <f>Données!AB176</f>
        <v>65</v>
      </c>
      <c r="R176" s="302">
        <f t="shared" si="30"/>
        <v>168.75</v>
      </c>
      <c r="S176" s="364">
        <f t="shared" si="31"/>
        <v>0.11371293800539084</v>
      </c>
      <c r="T176" s="344">
        <f t="shared" si="32"/>
        <v>202.45186062735681</v>
      </c>
      <c r="U176" s="344">
        <f t="shared" si="35"/>
        <v>0</v>
      </c>
      <c r="V176" s="362">
        <f t="shared" si="36"/>
        <v>0</v>
      </c>
      <c r="W176" s="436"/>
      <c r="X176" s="302">
        <f t="shared" si="37"/>
        <v>0</v>
      </c>
      <c r="Y176" s="322">
        <f t="shared" si="38"/>
        <v>0</v>
      </c>
    </row>
    <row r="177" spans="1:25" x14ac:dyDescent="0.25">
      <c r="A177" s="148">
        <f>Données!A177</f>
        <v>5704</v>
      </c>
      <c r="B177" s="156" t="str">
        <f>Données!B177</f>
        <v>Begnins</v>
      </c>
      <c r="C177" s="321">
        <f>Données!C177</f>
        <v>2041</v>
      </c>
      <c r="D177" s="336"/>
      <c r="E177" s="318">
        <f>Données!X177</f>
        <v>478</v>
      </c>
      <c r="F177" s="361">
        <f t="shared" si="26"/>
        <v>0.23419892209701126</v>
      </c>
      <c r="G177" s="336">
        <f t="shared" si="27"/>
        <v>1594.2006712530056</v>
      </c>
      <c r="H177" s="344">
        <f t="shared" si="33"/>
        <v>0</v>
      </c>
      <c r="I177" s="362">
        <f t="shared" si="34"/>
        <v>0</v>
      </c>
      <c r="J177" s="357"/>
      <c r="K177" s="363">
        <f>Données!Y177</f>
        <v>2</v>
      </c>
      <c r="L177" s="324">
        <f>Données!Z177</f>
        <v>0.126</v>
      </c>
      <c r="M177" s="336">
        <f t="shared" si="28"/>
        <v>73.686943620178042</v>
      </c>
      <c r="N177" s="362">
        <f t="shared" si="29"/>
        <v>-147</v>
      </c>
      <c r="O177" s="357"/>
      <c r="P177" s="318">
        <f>Données!AA177</f>
        <v>201</v>
      </c>
      <c r="Q177" s="359">
        <f>Données!AB177</f>
        <v>43</v>
      </c>
      <c r="R177" s="302">
        <f t="shared" si="30"/>
        <v>207.45</v>
      </c>
      <c r="S177" s="364">
        <f t="shared" si="31"/>
        <v>0.10164135227829495</v>
      </c>
      <c r="T177" s="344">
        <f t="shared" si="32"/>
        <v>278.43951990595366</v>
      </c>
      <c r="U177" s="344">
        <f t="shared" si="35"/>
        <v>0</v>
      </c>
      <c r="V177" s="362">
        <f t="shared" si="36"/>
        <v>0</v>
      </c>
      <c r="W177" s="436"/>
      <c r="X177" s="302">
        <f t="shared" si="37"/>
        <v>0</v>
      </c>
      <c r="Y177" s="322">
        <f t="shared" si="38"/>
        <v>0</v>
      </c>
    </row>
    <row r="178" spans="1:25" x14ac:dyDescent="0.25">
      <c r="A178" s="148">
        <f>Données!A178</f>
        <v>5705</v>
      </c>
      <c r="B178" s="156" t="str">
        <f>Données!B178</f>
        <v>Bogis-Bossey</v>
      </c>
      <c r="C178" s="321">
        <f>Données!C178</f>
        <v>990</v>
      </c>
      <c r="D178" s="336"/>
      <c r="E178" s="318">
        <f>Données!X178</f>
        <v>242</v>
      </c>
      <c r="F178" s="361">
        <f t="shared" si="26"/>
        <v>0.24444444444444444</v>
      </c>
      <c r="G178" s="336">
        <f t="shared" si="27"/>
        <v>773.27715068127168</v>
      </c>
      <c r="H178" s="344">
        <f t="shared" si="33"/>
        <v>0</v>
      </c>
      <c r="I178" s="362">
        <f t="shared" si="34"/>
        <v>0</v>
      </c>
      <c r="J178" s="357"/>
      <c r="K178" s="363">
        <f>Données!Y178</f>
        <v>0</v>
      </c>
      <c r="L178" s="324">
        <f>Données!Z178</f>
        <v>8.9999999999999993E-3</v>
      </c>
      <c r="M178" s="336">
        <f t="shared" si="28"/>
        <v>5.2633531157270026</v>
      </c>
      <c r="N178" s="362">
        <f t="shared" si="29"/>
        <v>0</v>
      </c>
      <c r="O178" s="357"/>
      <c r="P178" s="318">
        <f>Données!AA178</f>
        <v>120</v>
      </c>
      <c r="Q178" s="359">
        <f>Données!AB178</f>
        <v>76</v>
      </c>
      <c r="R178" s="302">
        <f t="shared" si="30"/>
        <v>131.4</v>
      </c>
      <c r="S178" s="364">
        <f t="shared" si="31"/>
        <v>0.13272727272727272</v>
      </c>
      <c r="T178" s="344">
        <f t="shared" si="32"/>
        <v>135.05885580935526</v>
      </c>
      <c r="U178" s="344">
        <f t="shared" si="35"/>
        <v>0</v>
      </c>
      <c r="V178" s="362">
        <f t="shared" si="36"/>
        <v>0</v>
      </c>
      <c r="W178" s="436"/>
      <c r="X178" s="302">
        <f t="shared" si="37"/>
        <v>0</v>
      </c>
      <c r="Y178" s="322">
        <f t="shared" si="38"/>
        <v>0</v>
      </c>
    </row>
    <row r="179" spans="1:25" x14ac:dyDescent="0.25">
      <c r="A179" s="148">
        <f>Données!A179</f>
        <v>5706</v>
      </c>
      <c r="B179" s="156" t="str">
        <f>Données!B179</f>
        <v>Borex</v>
      </c>
      <c r="C179" s="321">
        <f>Données!C179</f>
        <v>1144</v>
      </c>
      <c r="D179" s="336"/>
      <c r="E179" s="318">
        <f>Données!X179</f>
        <v>196</v>
      </c>
      <c r="F179" s="361">
        <f t="shared" si="26"/>
        <v>0.17132867132867133</v>
      </c>
      <c r="G179" s="336">
        <f t="shared" si="27"/>
        <v>893.56470745391391</v>
      </c>
      <c r="H179" s="344">
        <f t="shared" si="33"/>
        <v>0</v>
      </c>
      <c r="I179" s="362">
        <f t="shared" si="34"/>
        <v>0</v>
      </c>
      <c r="J179" s="357"/>
      <c r="K179" s="363">
        <f>Données!Y179</f>
        <v>0</v>
      </c>
      <c r="L179" s="324">
        <f>Données!Z179</f>
        <v>0.01</v>
      </c>
      <c r="M179" s="336">
        <f t="shared" si="28"/>
        <v>5.8481701285855596</v>
      </c>
      <c r="N179" s="362">
        <f t="shared" si="29"/>
        <v>0</v>
      </c>
      <c r="O179" s="357"/>
      <c r="P179" s="318">
        <f>Données!AA179</f>
        <v>134</v>
      </c>
      <c r="Q179" s="359">
        <f>Données!AB179</f>
        <v>64</v>
      </c>
      <c r="R179" s="302">
        <f t="shared" si="30"/>
        <v>143.6</v>
      </c>
      <c r="S179" s="364">
        <f t="shared" si="31"/>
        <v>0.12552447552447552</v>
      </c>
      <c r="T179" s="344">
        <f t="shared" si="32"/>
        <v>156.0680111574772</v>
      </c>
      <c r="U179" s="344">
        <f t="shared" si="35"/>
        <v>0</v>
      </c>
      <c r="V179" s="362">
        <f t="shared" si="36"/>
        <v>0</v>
      </c>
      <c r="W179" s="436"/>
      <c r="X179" s="302">
        <f t="shared" si="37"/>
        <v>0</v>
      </c>
      <c r="Y179" s="322">
        <f t="shared" si="38"/>
        <v>0</v>
      </c>
    </row>
    <row r="180" spans="1:25" x14ac:dyDescent="0.25">
      <c r="A180" s="148">
        <f>Données!A180</f>
        <v>5707</v>
      </c>
      <c r="B180" s="156" t="str">
        <f>Données!B180</f>
        <v>Chavannes-de-Bogis</v>
      </c>
      <c r="C180" s="321">
        <f>Données!C180</f>
        <v>1388</v>
      </c>
      <c r="D180" s="336"/>
      <c r="E180" s="318">
        <f>Données!X180</f>
        <v>274</v>
      </c>
      <c r="F180" s="361">
        <f t="shared" si="26"/>
        <v>0.19740634005763688</v>
      </c>
      <c r="G180" s="336">
        <f t="shared" si="27"/>
        <v>1084.1501870157626</v>
      </c>
      <c r="H180" s="344">
        <f t="shared" si="33"/>
        <v>0</v>
      </c>
      <c r="I180" s="362">
        <f t="shared" si="34"/>
        <v>0</v>
      </c>
      <c r="J180" s="357"/>
      <c r="K180" s="363">
        <f>Données!Y180</f>
        <v>0</v>
      </c>
      <c r="L180" s="324">
        <f>Données!Z180</f>
        <v>0.01</v>
      </c>
      <c r="M180" s="336">
        <f t="shared" si="28"/>
        <v>5.8481701285855596</v>
      </c>
      <c r="N180" s="362">
        <f t="shared" si="29"/>
        <v>0</v>
      </c>
      <c r="O180" s="357"/>
      <c r="P180" s="318">
        <f>Données!AA180</f>
        <v>168</v>
      </c>
      <c r="Q180" s="359">
        <f>Données!AB180</f>
        <v>79</v>
      </c>
      <c r="R180" s="302">
        <f t="shared" si="30"/>
        <v>179.85</v>
      </c>
      <c r="S180" s="364">
        <f t="shared" si="31"/>
        <v>0.12957492795389047</v>
      </c>
      <c r="T180" s="344">
        <f t="shared" si="32"/>
        <v>189.35524430644961</v>
      </c>
      <c r="U180" s="344">
        <f t="shared" si="35"/>
        <v>0</v>
      </c>
      <c r="V180" s="362">
        <f t="shared" si="36"/>
        <v>0</v>
      </c>
      <c r="W180" s="436"/>
      <c r="X180" s="302">
        <f t="shared" si="37"/>
        <v>0</v>
      </c>
      <c r="Y180" s="322">
        <f t="shared" si="38"/>
        <v>0</v>
      </c>
    </row>
    <row r="181" spans="1:25" x14ac:dyDescent="0.25">
      <c r="A181" s="148">
        <f>Données!A181</f>
        <v>5708</v>
      </c>
      <c r="B181" s="156" t="str">
        <f>Données!B181</f>
        <v>Chavannes-des-Bois</v>
      </c>
      <c r="C181" s="321">
        <f>Données!C181</f>
        <v>982</v>
      </c>
      <c r="D181" s="336"/>
      <c r="E181" s="318">
        <f>Données!X181</f>
        <v>212</v>
      </c>
      <c r="F181" s="361">
        <f t="shared" si="26"/>
        <v>0.21588594704684319</v>
      </c>
      <c r="G181" s="336">
        <f t="shared" si="27"/>
        <v>767.0284464333422</v>
      </c>
      <c r="H181" s="344">
        <f t="shared" si="33"/>
        <v>0</v>
      </c>
      <c r="I181" s="362">
        <f t="shared" si="34"/>
        <v>0</v>
      </c>
      <c r="J181" s="357"/>
      <c r="K181" s="363">
        <f>Données!Y181</f>
        <v>0</v>
      </c>
      <c r="L181" s="324">
        <f>Données!Z181</f>
        <v>5.0000000000000001E-3</v>
      </c>
      <c r="M181" s="336">
        <f t="shared" si="28"/>
        <v>2.9240850642927798</v>
      </c>
      <c r="N181" s="362">
        <f t="shared" si="29"/>
        <v>0</v>
      </c>
      <c r="O181" s="357"/>
      <c r="P181" s="318">
        <f>Données!AA181</f>
        <v>116</v>
      </c>
      <c r="Q181" s="359">
        <f>Données!AB181</f>
        <v>116</v>
      </c>
      <c r="R181" s="302">
        <f t="shared" si="30"/>
        <v>133.4</v>
      </c>
      <c r="S181" s="364">
        <f t="shared" si="31"/>
        <v>0.13584521384928719</v>
      </c>
      <c r="T181" s="344">
        <f t="shared" si="32"/>
        <v>133.96747111594635</v>
      </c>
      <c r="U181" s="344">
        <f t="shared" si="35"/>
        <v>0</v>
      </c>
      <c r="V181" s="362">
        <f t="shared" si="36"/>
        <v>0</v>
      </c>
      <c r="W181" s="436"/>
      <c r="X181" s="302">
        <f t="shared" si="37"/>
        <v>0</v>
      </c>
      <c r="Y181" s="322">
        <f t="shared" si="38"/>
        <v>0</v>
      </c>
    </row>
    <row r="182" spans="1:25" x14ac:dyDescent="0.25">
      <c r="A182" s="148">
        <f>Données!A182</f>
        <v>5709</v>
      </c>
      <c r="B182" s="156" t="str">
        <f>Données!B182</f>
        <v>Chéserex</v>
      </c>
      <c r="C182" s="321">
        <f>Données!C182</f>
        <v>1277</v>
      </c>
      <c r="D182" s="336"/>
      <c r="E182" s="318">
        <f>Données!X182</f>
        <v>1043</v>
      </c>
      <c r="F182" s="361">
        <f t="shared" si="26"/>
        <v>0.81675802662490216</v>
      </c>
      <c r="G182" s="336">
        <f t="shared" si="27"/>
        <v>997.44941557574134</v>
      </c>
      <c r="H182" s="344">
        <f t="shared" si="33"/>
        <v>45.550584424258659</v>
      </c>
      <c r="I182" s="362">
        <f t="shared" si="34"/>
        <v>-4843</v>
      </c>
      <c r="J182" s="357"/>
      <c r="K182" s="363">
        <f>Données!Y182</f>
        <v>0</v>
      </c>
      <c r="L182" s="324">
        <f>Données!Z182</f>
        <v>0.22800000000000001</v>
      </c>
      <c r="M182" s="336">
        <f t="shared" si="28"/>
        <v>133.33827893175075</v>
      </c>
      <c r="N182" s="362">
        <f t="shared" si="29"/>
        <v>0</v>
      </c>
      <c r="O182" s="357"/>
      <c r="P182" s="318">
        <f>Données!AA182</f>
        <v>140</v>
      </c>
      <c r="Q182" s="359">
        <f>Données!AB182</f>
        <v>57</v>
      </c>
      <c r="R182" s="302">
        <f t="shared" si="30"/>
        <v>148.55000000000001</v>
      </c>
      <c r="S182" s="364">
        <f t="shared" si="31"/>
        <v>0.11632732967893501</v>
      </c>
      <c r="T182" s="344">
        <f t="shared" si="32"/>
        <v>174.21228168540068</v>
      </c>
      <c r="U182" s="344">
        <f t="shared" si="35"/>
        <v>0</v>
      </c>
      <c r="V182" s="362">
        <f t="shared" si="36"/>
        <v>0</v>
      </c>
      <c r="W182" s="436"/>
      <c r="X182" s="302">
        <f t="shared" si="37"/>
        <v>0</v>
      </c>
      <c r="Y182" s="322">
        <f t="shared" si="38"/>
        <v>0</v>
      </c>
    </row>
    <row r="183" spans="1:25" x14ac:dyDescent="0.25">
      <c r="A183" s="148">
        <f>Données!A183</f>
        <v>5710</v>
      </c>
      <c r="B183" s="156" t="str">
        <f>Données!B183</f>
        <v>Coinsins</v>
      </c>
      <c r="C183" s="321">
        <f>Données!C183</f>
        <v>517</v>
      </c>
      <c r="D183" s="336"/>
      <c r="E183" s="318">
        <f>Données!X183</f>
        <v>294</v>
      </c>
      <c r="F183" s="361">
        <f t="shared" si="26"/>
        <v>0.56866537717601551</v>
      </c>
      <c r="G183" s="336">
        <f t="shared" si="27"/>
        <v>403.82251202244186</v>
      </c>
      <c r="H183" s="344">
        <f t="shared" si="33"/>
        <v>0</v>
      </c>
      <c r="I183" s="362">
        <f t="shared" si="34"/>
        <v>0</v>
      </c>
      <c r="J183" s="357"/>
      <c r="K183" s="363">
        <f>Données!Y183</f>
        <v>0</v>
      </c>
      <c r="L183" s="324">
        <f>Données!Z183</f>
        <v>2.9000000000000001E-2</v>
      </c>
      <c r="M183" s="336">
        <f t="shared" si="28"/>
        <v>16.959693372898123</v>
      </c>
      <c r="N183" s="362">
        <f t="shared" si="29"/>
        <v>0</v>
      </c>
      <c r="O183" s="357"/>
      <c r="P183" s="318">
        <f>Données!AA183</f>
        <v>54</v>
      </c>
      <c r="Q183" s="359">
        <f>Données!AB183</f>
        <v>19</v>
      </c>
      <c r="R183" s="302">
        <f t="shared" si="30"/>
        <v>56.85</v>
      </c>
      <c r="S183" s="364">
        <f t="shared" si="31"/>
        <v>0.10996131528046423</v>
      </c>
      <c r="T183" s="344">
        <f t="shared" si="32"/>
        <v>70.530735811552205</v>
      </c>
      <c r="U183" s="344">
        <f t="shared" si="35"/>
        <v>0</v>
      </c>
      <c r="V183" s="362">
        <f t="shared" si="36"/>
        <v>0</v>
      </c>
      <c r="W183" s="436"/>
      <c r="X183" s="302">
        <f t="shared" si="37"/>
        <v>0</v>
      </c>
      <c r="Y183" s="322">
        <f t="shared" si="38"/>
        <v>0</v>
      </c>
    </row>
    <row r="184" spans="1:25" x14ac:dyDescent="0.25">
      <c r="A184" s="148">
        <f>Données!A184</f>
        <v>5711</v>
      </c>
      <c r="B184" s="156" t="str">
        <f>Données!B184</f>
        <v>Commugny</v>
      </c>
      <c r="C184" s="321">
        <f>Données!C184</f>
        <v>2987</v>
      </c>
      <c r="D184" s="336"/>
      <c r="E184" s="318">
        <f>Données!X184</f>
        <v>650</v>
      </c>
      <c r="F184" s="361">
        <f t="shared" si="26"/>
        <v>0.21760964178105122</v>
      </c>
      <c r="G184" s="336">
        <f t="shared" si="27"/>
        <v>2333.109948570665</v>
      </c>
      <c r="H184" s="344">
        <f t="shared" si="33"/>
        <v>0</v>
      </c>
      <c r="I184" s="362">
        <f t="shared" si="34"/>
        <v>0</v>
      </c>
      <c r="J184" s="357"/>
      <c r="K184" s="363">
        <f>Données!Y184</f>
        <v>0</v>
      </c>
      <c r="L184" s="324">
        <f>Données!Z184</f>
        <v>8.0000000000000002E-3</v>
      </c>
      <c r="M184" s="336">
        <f t="shared" si="28"/>
        <v>4.6785361028684473</v>
      </c>
      <c r="N184" s="362">
        <f t="shared" si="29"/>
        <v>0</v>
      </c>
      <c r="O184" s="357"/>
      <c r="P184" s="318">
        <f>Données!AA184</f>
        <v>300</v>
      </c>
      <c r="Q184" s="359">
        <f>Données!AB184</f>
        <v>13</v>
      </c>
      <c r="R184" s="302">
        <f t="shared" si="30"/>
        <v>301.95</v>
      </c>
      <c r="S184" s="364">
        <f t="shared" si="31"/>
        <v>0.10108804820890525</v>
      </c>
      <c r="T184" s="344">
        <f t="shared" si="32"/>
        <v>407.49575990155978</v>
      </c>
      <c r="U184" s="344">
        <f t="shared" si="35"/>
        <v>0</v>
      </c>
      <c r="V184" s="362">
        <f t="shared" si="36"/>
        <v>0</v>
      </c>
      <c r="W184" s="436"/>
      <c r="X184" s="302">
        <f t="shared" si="37"/>
        <v>0</v>
      </c>
      <c r="Y184" s="322">
        <f t="shared" si="38"/>
        <v>0</v>
      </c>
    </row>
    <row r="185" spans="1:25" x14ac:dyDescent="0.25">
      <c r="A185" s="148">
        <f>Données!A185</f>
        <v>5712</v>
      </c>
      <c r="B185" s="156" t="str">
        <f>Données!B185</f>
        <v>Coppet</v>
      </c>
      <c r="C185" s="321">
        <f>Données!C185</f>
        <v>3216</v>
      </c>
      <c r="D185" s="336"/>
      <c r="E185" s="318">
        <f>Données!X185</f>
        <v>184</v>
      </c>
      <c r="F185" s="361">
        <f t="shared" si="26"/>
        <v>5.721393034825871E-2</v>
      </c>
      <c r="G185" s="336">
        <f t="shared" si="27"/>
        <v>2511.9791076676461</v>
      </c>
      <c r="H185" s="344">
        <f t="shared" si="33"/>
        <v>0</v>
      </c>
      <c r="I185" s="362">
        <f t="shared" si="34"/>
        <v>0</v>
      </c>
      <c r="J185" s="357"/>
      <c r="K185" s="363">
        <f>Données!Y185</f>
        <v>0</v>
      </c>
      <c r="L185" s="324">
        <f>Données!Z185</f>
        <v>3.5999999999999997E-2</v>
      </c>
      <c r="M185" s="336">
        <f t="shared" si="28"/>
        <v>21.05341246290801</v>
      </c>
      <c r="N185" s="362">
        <f t="shared" si="29"/>
        <v>0</v>
      </c>
      <c r="O185" s="357"/>
      <c r="P185" s="318">
        <f>Données!AA185</f>
        <v>318</v>
      </c>
      <c r="Q185" s="359">
        <f>Données!AB185</f>
        <v>3</v>
      </c>
      <c r="R185" s="302">
        <f t="shared" si="30"/>
        <v>318.45</v>
      </c>
      <c r="S185" s="364">
        <f t="shared" si="31"/>
        <v>9.9020522388059695E-2</v>
      </c>
      <c r="T185" s="344">
        <f t="shared" si="32"/>
        <v>438.73664675039049</v>
      </c>
      <c r="U185" s="344">
        <f t="shared" si="35"/>
        <v>0</v>
      </c>
      <c r="V185" s="362">
        <f t="shared" si="36"/>
        <v>0</v>
      </c>
      <c r="W185" s="436"/>
      <c r="X185" s="302">
        <f t="shared" si="37"/>
        <v>0</v>
      </c>
      <c r="Y185" s="322">
        <f t="shared" si="38"/>
        <v>0</v>
      </c>
    </row>
    <row r="186" spans="1:25" x14ac:dyDescent="0.25">
      <c r="A186" s="148">
        <f>Données!A186</f>
        <v>5713</v>
      </c>
      <c r="B186" s="156" t="str">
        <f>Données!B186</f>
        <v>Crans</v>
      </c>
      <c r="C186" s="321">
        <f>Données!C186</f>
        <v>2455</v>
      </c>
      <c r="D186" s="336"/>
      <c r="E186" s="318">
        <f>Données!X186</f>
        <v>428</v>
      </c>
      <c r="F186" s="361">
        <f t="shared" si="26"/>
        <v>0.17433808553971486</v>
      </c>
      <c r="G186" s="336">
        <f t="shared" si="27"/>
        <v>1917.5711160833555</v>
      </c>
      <c r="H186" s="344">
        <f t="shared" si="33"/>
        <v>0</v>
      </c>
      <c r="I186" s="362">
        <f t="shared" si="34"/>
        <v>0</v>
      </c>
      <c r="J186" s="357"/>
      <c r="K186" s="363">
        <f>Données!Y186</f>
        <v>0</v>
      </c>
      <c r="L186" s="324">
        <f>Données!Z186</f>
        <v>3.5999999999999997E-2</v>
      </c>
      <c r="M186" s="336">
        <f t="shared" si="28"/>
        <v>21.05341246290801</v>
      </c>
      <c r="N186" s="362">
        <f t="shared" si="29"/>
        <v>0</v>
      </c>
      <c r="O186" s="357"/>
      <c r="P186" s="318">
        <f>Données!AA186</f>
        <v>260</v>
      </c>
      <c r="Q186" s="359">
        <f>Données!AB186</f>
        <v>147</v>
      </c>
      <c r="R186" s="302">
        <f t="shared" si="30"/>
        <v>282.05</v>
      </c>
      <c r="S186" s="364">
        <f t="shared" si="31"/>
        <v>0.11488798370672099</v>
      </c>
      <c r="T186" s="344">
        <f t="shared" si="32"/>
        <v>334.91867778986585</v>
      </c>
      <c r="U186" s="344">
        <f t="shared" si="35"/>
        <v>0</v>
      </c>
      <c r="V186" s="362">
        <f t="shared" si="36"/>
        <v>0</v>
      </c>
      <c r="W186" s="436"/>
      <c r="X186" s="302">
        <f t="shared" si="37"/>
        <v>0</v>
      </c>
      <c r="Y186" s="322">
        <f t="shared" si="38"/>
        <v>0</v>
      </c>
    </row>
    <row r="187" spans="1:25" x14ac:dyDescent="0.25">
      <c r="A187" s="148">
        <f>Données!A187</f>
        <v>5714</v>
      </c>
      <c r="B187" s="156" t="str">
        <f>Données!B187</f>
        <v>Crassier</v>
      </c>
      <c r="C187" s="321">
        <f>Données!C187</f>
        <v>1274</v>
      </c>
      <c r="D187" s="336"/>
      <c r="E187" s="318">
        <f>Données!X187</f>
        <v>202</v>
      </c>
      <c r="F187" s="361">
        <f t="shared" si="26"/>
        <v>0.15855572998430142</v>
      </c>
      <c r="G187" s="336">
        <f t="shared" si="27"/>
        <v>995.10615148276781</v>
      </c>
      <c r="H187" s="344">
        <f t="shared" si="33"/>
        <v>0</v>
      </c>
      <c r="I187" s="362">
        <f t="shared" si="34"/>
        <v>0</v>
      </c>
      <c r="J187" s="357"/>
      <c r="K187" s="363">
        <f>Données!Y187</f>
        <v>0</v>
      </c>
      <c r="L187" s="324">
        <f>Données!Z187</f>
        <v>1.6E-2</v>
      </c>
      <c r="M187" s="336">
        <f t="shared" si="28"/>
        <v>9.3570722057368947</v>
      </c>
      <c r="N187" s="362">
        <f t="shared" si="29"/>
        <v>0</v>
      </c>
      <c r="O187" s="357"/>
      <c r="P187" s="318">
        <f>Données!AA187</f>
        <v>147</v>
      </c>
      <c r="Q187" s="359">
        <f>Données!AB187</f>
        <v>23</v>
      </c>
      <c r="R187" s="302">
        <f t="shared" si="30"/>
        <v>150.44999999999999</v>
      </c>
      <c r="S187" s="364">
        <f t="shared" si="31"/>
        <v>0.11809262166405023</v>
      </c>
      <c r="T187" s="344">
        <f t="shared" si="32"/>
        <v>173.80301242537234</v>
      </c>
      <c r="U187" s="344">
        <f t="shared" si="35"/>
        <v>0</v>
      </c>
      <c r="V187" s="362">
        <f t="shared" si="36"/>
        <v>0</v>
      </c>
      <c r="W187" s="436"/>
      <c r="X187" s="302">
        <f t="shared" si="37"/>
        <v>0</v>
      </c>
      <c r="Y187" s="322">
        <f t="shared" si="38"/>
        <v>0</v>
      </c>
    </row>
    <row r="188" spans="1:25" x14ac:dyDescent="0.25">
      <c r="A188" s="148">
        <f>Données!A188</f>
        <v>5715</v>
      </c>
      <c r="B188" s="156" t="str">
        <f>Données!B188</f>
        <v>Duillier</v>
      </c>
      <c r="C188" s="321">
        <f>Données!C188</f>
        <v>1143</v>
      </c>
      <c r="D188" s="336"/>
      <c r="E188" s="318">
        <f>Données!X188</f>
        <v>405</v>
      </c>
      <c r="F188" s="361">
        <f t="shared" si="26"/>
        <v>0.3543307086614173</v>
      </c>
      <c r="G188" s="336">
        <f t="shared" si="27"/>
        <v>892.78361942292281</v>
      </c>
      <c r="H188" s="344">
        <f t="shared" si="33"/>
        <v>0</v>
      </c>
      <c r="I188" s="362">
        <f t="shared" si="34"/>
        <v>0</v>
      </c>
      <c r="J188" s="357"/>
      <c r="K188" s="363">
        <f>Données!Y188</f>
        <v>0</v>
      </c>
      <c r="L188" s="324">
        <f>Données!Z188</f>
        <v>1.7000000000000001E-2</v>
      </c>
      <c r="M188" s="336">
        <f t="shared" si="28"/>
        <v>9.9418892185954508</v>
      </c>
      <c r="N188" s="362">
        <f t="shared" si="29"/>
        <v>0</v>
      </c>
      <c r="O188" s="357"/>
      <c r="P188" s="318">
        <f>Données!AA188</f>
        <v>138</v>
      </c>
      <c r="Q188" s="359">
        <f>Données!AB188</f>
        <v>62</v>
      </c>
      <c r="R188" s="302">
        <f t="shared" si="30"/>
        <v>147.30000000000001</v>
      </c>
      <c r="S188" s="364">
        <f t="shared" si="31"/>
        <v>0.1288713910761155</v>
      </c>
      <c r="T188" s="344">
        <f t="shared" si="32"/>
        <v>155.9315880708011</v>
      </c>
      <c r="U188" s="344">
        <f t="shared" si="35"/>
        <v>0</v>
      </c>
      <c r="V188" s="362">
        <f t="shared" si="36"/>
        <v>0</v>
      </c>
      <c r="W188" s="436"/>
      <c r="X188" s="302">
        <f t="shared" si="37"/>
        <v>0</v>
      </c>
      <c r="Y188" s="322">
        <f t="shared" si="38"/>
        <v>0</v>
      </c>
    </row>
    <row r="189" spans="1:25" x14ac:dyDescent="0.25">
      <c r="A189" s="148">
        <f>Données!A189</f>
        <v>5716</v>
      </c>
      <c r="B189" s="156" t="str">
        <f>Données!B189</f>
        <v>Eysins</v>
      </c>
      <c r="C189" s="321">
        <f>Données!C189</f>
        <v>1772</v>
      </c>
      <c r="D189" s="336"/>
      <c r="E189" s="318">
        <f>Données!X189</f>
        <v>236</v>
      </c>
      <c r="F189" s="361">
        <f t="shared" si="26"/>
        <v>0.13318284424379231</v>
      </c>
      <c r="G189" s="336">
        <f t="shared" si="27"/>
        <v>1384.0879909163773</v>
      </c>
      <c r="H189" s="344">
        <f t="shared" si="33"/>
        <v>0</v>
      </c>
      <c r="I189" s="362">
        <f t="shared" si="34"/>
        <v>0</v>
      </c>
      <c r="J189" s="357"/>
      <c r="K189" s="363">
        <f>Données!Y189</f>
        <v>0</v>
      </c>
      <c r="L189" s="324">
        <f>Données!Z189</f>
        <v>4.4999999999999998E-2</v>
      </c>
      <c r="M189" s="336">
        <f t="shared" si="28"/>
        <v>26.316765578635017</v>
      </c>
      <c r="N189" s="362">
        <f t="shared" si="29"/>
        <v>0</v>
      </c>
      <c r="O189" s="357"/>
      <c r="P189" s="318">
        <f>Données!AA189</f>
        <v>222</v>
      </c>
      <c r="Q189" s="359">
        <f>Données!AB189</f>
        <v>121</v>
      </c>
      <c r="R189" s="302">
        <f t="shared" si="30"/>
        <v>240.15</v>
      </c>
      <c r="S189" s="364">
        <f t="shared" si="31"/>
        <v>0.13552483069977428</v>
      </c>
      <c r="T189" s="344">
        <f t="shared" si="32"/>
        <v>241.74170959007833</v>
      </c>
      <c r="U189" s="344">
        <f t="shared" si="35"/>
        <v>0</v>
      </c>
      <c r="V189" s="362">
        <f t="shared" si="36"/>
        <v>0</v>
      </c>
      <c r="W189" s="436"/>
      <c r="X189" s="302">
        <f t="shared" si="37"/>
        <v>0</v>
      </c>
      <c r="Y189" s="322">
        <f t="shared" si="38"/>
        <v>0</v>
      </c>
    </row>
    <row r="190" spans="1:25" x14ac:dyDescent="0.25">
      <c r="A190" s="148">
        <f>Données!A190</f>
        <v>5717</v>
      </c>
      <c r="B190" s="156" t="str">
        <f>Données!B190</f>
        <v>Founex</v>
      </c>
      <c r="C190" s="321">
        <f>Données!C190</f>
        <v>3748</v>
      </c>
      <c r="D190" s="336"/>
      <c r="E190" s="318">
        <f>Données!X190</f>
        <v>476</v>
      </c>
      <c r="F190" s="361">
        <f t="shared" si="26"/>
        <v>0.12700106723585913</v>
      </c>
      <c r="G190" s="336">
        <f t="shared" si="27"/>
        <v>2927.5179401549558</v>
      </c>
      <c r="H190" s="344">
        <f t="shared" si="33"/>
        <v>0</v>
      </c>
      <c r="I190" s="362">
        <f t="shared" si="34"/>
        <v>0</v>
      </c>
      <c r="J190" s="357"/>
      <c r="K190" s="363">
        <f>Données!Y190</f>
        <v>0</v>
      </c>
      <c r="L190" s="324">
        <f>Données!Z190</f>
        <v>1.4E-2</v>
      </c>
      <c r="M190" s="336">
        <f t="shared" si="28"/>
        <v>8.1874381800197824</v>
      </c>
      <c r="N190" s="362">
        <f t="shared" si="29"/>
        <v>0</v>
      </c>
      <c r="O190" s="357"/>
      <c r="P190" s="318">
        <f>Données!AA190</f>
        <v>383</v>
      </c>
      <c r="Q190" s="359">
        <f>Données!AB190</f>
        <v>63</v>
      </c>
      <c r="R190" s="302">
        <f t="shared" si="30"/>
        <v>392.45</v>
      </c>
      <c r="S190" s="364">
        <f t="shared" si="31"/>
        <v>0.10470917822838847</v>
      </c>
      <c r="T190" s="344">
        <f t="shared" si="32"/>
        <v>511.31372886208442</v>
      </c>
      <c r="U190" s="344">
        <f t="shared" si="35"/>
        <v>0</v>
      </c>
      <c r="V190" s="362">
        <f t="shared" si="36"/>
        <v>0</v>
      </c>
      <c r="W190" s="436"/>
      <c r="X190" s="302">
        <f t="shared" si="37"/>
        <v>0</v>
      </c>
      <c r="Y190" s="322">
        <f t="shared" si="38"/>
        <v>0</v>
      </c>
    </row>
    <row r="191" spans="1:25" x14ac:dyDescent="0.25">
      <c r="A191" s="148">
        <f>Données!A191</f>
        <v>5718</v>
      </c>
      <c r="B191" s="156" t="str">
        <f>Données!B191</f>
        <v>Genolier</v>
      </c>
      <c r="C191" s="321">
        <f>Données!C191</f>
        <v>2012</v>
      </c>
      <c r="D191" s="336"/>
      <c r="E191" s="318">
        <f>Données!X191</f>
        <v>484</v>
      </c>
      <c r="F191" s="361">
        <f t="shared" si="26"/>
        <v>0.24055666003976142</v>
      </c>
      <c r="G191" s="336">
        <f t="shared" si="27"/>
        <v>1571.5491183542613</v>
      </c>
      <c r="H191" s="344">
        <f t="shared" si="33"/>
        <v>0</v>
      </c>
      <c r="I191" s="362">
        <f t="shared" si="34"/>
        <v>0</v>
      </c>
      <c r="J191" s="357"/>
      <c r="K191" s="363">
        <f>Données!Y191</f>
        <v>0</v>
      </c>
      <c r="L191" s="324">
        <f>Données!Z191</f>
        <v>7.2999999999999995E-2</v>
      </c>
      <c r="M191" s="336">
        <f t="shared" si="28"/>
        <v>42.691641938674579</v>
      </c>
      <c r="N191" s="362">
        <f t="shared" si="29"/>
        <v>0</v>
      </c>
      <c r="O191" s="357"/>
      <c r="P191" s="318">
        <f>Données!AA191</f>
        <v>215</v>
      </c>
      <c r="Q191" s="359">
        <f>Données!AB191</f>
        <v>81</v>
      </c>
      <c r="R191" s="302">
        <f t="shared" si="30"/>
        <v>227.15</v>
      </c>
      <c r="S191" s="364">
        <f t="shared" si="31"/>
        <v>0.11289761431411531</v>
      </c>
      <c r="T191" s="344">
        <f t="shared" si="32"/>
        <v>274.48325039234629</v>
      </c>
      <c r="U191" s="344">
        <f t="shared" si="35"/>
        <v>0</v>
      </c>
      <c r="V191" s="362">
        <f t="shared" si="36"/>
        <v>0</v>
      </c>
      <c r="W191" s="436"/>
      <c r="X191" s="302">
        <f t="shared" si="37"/>
        <v>0</v>
      </c>
      <c r="Y191" s="322">
        <f t="shared" si="38"/>
        <v>0</v>
      </c>
    </row>
    <row r="192" spans="1:25" x14ac:dyDescent="0.25">
      <c r="A192" s="148">
        <f>Données!A192</f>
        <v>5719</v>
      </c>
      <c r="B192" s="156" t="str">
        <f>Données!B192</f>
        <v>Gingins</v>
      </c>
      <c r="C192" s="321">
        <f>Données!C192</f>
        <v>1253</v>
      </c>
      <c r="D192" s="336"/>
      <c r="E192" s="318">
        <f>Données!X192</f>
        <v>1249</v>
      </c>
      <c r="F192" s="361">
        <f t="shared" si="26"/>
        <v>0.99680766161213086</v>
      </c>
      <c r="G192" s="336">
        <f t="shared" si="27"/>
        <v>978.7033028319529</v>
      </c>
      <c r="H192" s="344">
        <f t="shared" si="33"/>
        <v>270.2966971680471</v>
      </c>
      <c r="I192" s="362">
        <f t="shared" si="34"/>
        <v>-28741</v>
      </c>
      <c r="J192" s="357"/>
      <c r="K192" s="363">
        <f>Données!Y192</f>
        <v>2</v>
      </c>
      <c r="L192" s="324">
        <f>Données!Z192</f>
        <v>0.31900000000000001</v>
      </c>
      <c r="M192" s="336">
        <f t="shared" si="28"/>
        <v>186.55662710187934</v>
      </c>
      <c r="N192" s="362">
        <f t="shared" si="29"/>
        <v>-373</v>
      </c>
      <c r="O192" s="357"/>
      <c r="P192" s="318">
        <f>Données!AA192</f>
        <v>125</v>
      </c>
      <c r="Q192" s="359">
        <f>Données!AB192</f>
        <v>58</v>
      </c>
      <c r="R192" s="302">
        <f t="shared" si="30"/>
        <v>133.69999999999999</v>
      </c>
      <c r="S192" s="364">
        <f t="shared" si="31"/>
        <v>0.10670391061452512</v>
      </c>
      <c r="T192" s="344">
        <f t="shared" si="32"/>
        <v>170.93812760517389</v>
      </c>
      <c r="U192" s="344">
        <f t="shared" si="35"/>
        <v>0</v>
      </c>
      <c r="V192" s="362">
        <f t="shared" si="36"/>
        <v>0</v>
      </c>
      <c r="W192" s="436"/>
      <c r="X192" s="302">
        <f t="shared" si="37"/>
        <v>0</v>
      </c>
      <c r="Y192" s="322">
        <f t="shared" si="38"/>
        <v>0</v>
      </c>
    </row>
    <row r="193" spans="1:25" x14ac:dyDescent="0.25">
      <c r="A193" s="148">
        <f>Données!A193</f>
        <v>5720</v>
      </c>
      <c r="B193" s="156" t="str">
        <f>Données!B193</f>
        <v>Givrins</v>
      </c>
      <c r="C193" s="321">
        <f>Données!C193</f>
        <v>1071</v>
      </c>
      <c r="D193" s="336"/>
      <c r="E193" s="318">
        <f>Données!X193</f>
        <v>394</v>
      </c>
      <c r="F193" s="361">
        <f t="shared" si="26"/>
        <v>0.36788048552754438</v>
      </c>
      <c r="G193" s="336">
        <f t="shared" si="27"/>
        <v>836.54528119155759</v>
      </c>
      <c r="H193" s="344">
        <f t="shared" si="33"/>
        <v>0</v>
      </c>
      <c r="I193" s="362">
        <f t="shared" si="34"/>
        <v>0</v>
      </c>
      <c r="J193" s="357"/>
      <c r="K193" s="363">
        <f>Données!Y193</f>
        <v>0</v>
      </c>
      <c r="L193" s="324">
        <f>Données!Z193</f>
        <v>0.248</v>
      </c>
      <c r="M193" s="336">
        <f t="shared" si="28"/>
        <v>145.03461918892188</v>
      </c>
      <c r="N193" s="362">
        <f t="shared" si="29"/>
        <v>0</v>
      </c>
      <c r="O193" s="357"/>
      <c r="P193" s="318">
        <f>Données!AA193</f>
        <v>116</v>
      </c>
      <c r="Q193" s="359">
        <f>Données!AB193</f>
        <v>24</v>
      </c>
      <c r="R193" s="302">
        <f t="shared" si="30"/>
        <v>119.6</v>
      </c>
      <c r="S193" s="364">
        <f t="shared" si="31"/>
        <v>0.11167133520074696</v>
      </c>
      <c r="T193" s="344">
        <f t="shared" si="32"/>
        <v>146.10912583012072</v>
      </c>
      <c r="U193" s="344">
        <f t="shared" si="35"/>
        <v>0</v>
      </c>
      <c r="V193" s="362">
        <f t="shared" si="36"/>
        <v>0</v>
      </c>
      <c r="W193" s="436"/>
      <c r="X193" s="302">
        <f t="shared" si="37"/>
        <v>0</v>
      </c>
      <c r="Y193" s="322">
        <f t="shared" si="38"/>
        <v>0</v>
      </c>
    </row>
    <row r="194" spans="1:25" x14ac:dyDescent="0.25">
      <c r="A194" s="148">
        <f>Données!A194</f>
        <v>5721</v>
      </c>
      <c r="B194" s="156" t="str">
        <f>Données!B194</f>
        <v>Gland</v>
      </c>
      <c r="C194" s="321">
        <f>Données!C194</f>
        <v>13968</v>
      </c>
      <c r="D194" s="336"/>
      <c r="E194" s="318">
        <f>Données!X194</f>
        <v>832</v>
      </c>
      <c r="F194" s="361">
        <f t="shared" si="26"/>
        <v>5.9564719358533788E-2</v>
      </c>
      <c r="G194" s="336">
        <f t="shared" si="27"/>
        <v>10910.237616884851</v>
      </c>
      <c r="H194" s="344">
        <f t="shared" si="33"/>
        <v>0</v>
      </c>
      <c r="I194" s="362">
        <f t="shared" si="34"/>
        <v>0</v>
      </c>
      <c r="J194" s="357"/>
      <c r="K194" s="363">
        <f>Données!Y194</f>
        <v>0</v>
      </c>
      <c r="L194" s="324">
        <f>Données!Z194</f>
        <v>2.8000000000000001E-2</v>
      </c>
      <c r="M194" s="336">
        <f t="shared" si="28"/>
        <v>16.374876360039565</v>
      </c>
      <c r="N194" s="362">
        <f t="shared" si="29"/>
        <v>0</v>
      </c>
      <c r="O194" s="357"/>
      <c r="P194" s="318">
        <f>Données!AA194</f>
        <v>1696</v>
      </c>
      <c r="Q194" s="359">
        <f>Données!AB194</f>
        <v>61</v>
      </c>
      <c r="R194" s="302">
        <f t="shared" si="30"/>
        <v>1705.15</v>
      </c>
      <c r="S194" s="364">
        <f t="shared" si="31"/>
        <v>0.12207545819014892</v>
      </c>
      <c r="T194" s="344">
        <f t="shared" si="32"/>
        <v>1905.5576746919944</v>
      </c>
      <c r="U194" s="344">
        <f t="shared" si="35"/>
        <v>0</v>
      </c>
      <c r="V194" s="362">
        <f t="shared" si="36"/>
        <v>0</v>
      </c>
      <c r="W194" s="436"/>
      <c r="X194" s="302">
        <f t="shared" si="37"/>
        <v>0</v>
      </c>
      <c r="Y194" s="322">
        <f t="shared" si="38"/>
        <v>0</v>
      </c>
    </row>
    <row r="195" spans="1:25" x14ac:dyDescent="0.25">
      <c r="A195" s="148">
        <f>Données!A195</f>
        <v>5722</v>
      </c>
      <c r="B195" s="156" t="str">
        <f>Données!B195</f>
        <v>Grens</v>
      </c>
      <c r="C195" s="321">
        <f>Données!C195</f>
        <v>394</v>
      </c>
      <c r="D195" s="336"/>
      <c r="E195" s="318">
        <f>Données!X195</f>
        <v>255</v>
      </c>
      <c r="F195" s="361">
        <f t="shared" si="26"/>
        <v>0.64720812182741116</v>
      </c>
      <c r="G195" s="336">
        <f t="shared" si="27"/>
        <v>307.74868421052628</v>
      </c>
      <c r="H195" s="344">
        <f t="shared" si="33"/>
        <v>0</v>
      </c>
      <c r="I195" s="362">
        <f t="shared" si="34"/>
        <v>0</v>
      </c>
      <c r="J195" s="357"/>
      <c r="K195" s="363">
        <f>Données!Y195</f>
        <v>0</v>
      </c>
      <c r="L195" s="324">
        <f>Données!Z195</f>
        <v>5.0000000000000001E-3</v>
      </c>
      <c r="M195" s="336">
        <f t="shared" si="28"/>
        <v>2.9240850642927798</v>
      </c>
      <c r="N195" s="362">
        <f t="shared" si="29"/>
        <v>0</v>
      </c>
      <c r="O195" s="357"/>
      <c r="P195" s="318">
        <f>Données!AA195</f>
        <v>45</v>
      </c>
      <c r="Q195" s="359">
        <f>Données!AB195</f>
        <v>26</v>
      </c>
      <c r="R195" s="302">
        <f t="shared" si="30"/>
        <v>48.9</v>
      </c>
      <c r="S195" s="364">
        <f t="shared" si="31"/>
        <v>0.12411167512690355</v>
      </c>
      <c r="T195" s="344">
        <f t="shared" si="32"/>
        <v>53.750696150389878</v>
      </c>
      <c r="U195" s="344">
        <f t="shared" si="35"/>
        <v>0</v>
      </c>
      <c r="V195" s="362">
        <f t="shared" si="36"/>
        <v>0</v>
      </c>
      <c r="W195" s="436"/>
      <c r="X195" s="302">
        <f t="shared" si="37"/>
        <v>0</v>
      </c>
      <c r="Y195" s="322">
        <f t="shared" si="38"/>
        <v>0</v>
      </c>
    </row>
    <row r="196" spans="1:25" x14ac:dyDescent="0.25">
      <c r="A196" s="148">
        <f>Données!A196</f>
        <v>5723</v>
      </c>
      <c r="B196" s="156" t="str">
        <f>Données!B196</f>
        <v>Mies</v>
      </c>
      <c r="C196" s="321">
        <f>Données!C196</f>
        <v>2163</v>
      </c>
      <c r="D196" s="336"/>
      <c r="E196" s="318">
        <f>Données!X196</f>
        <v>349</v>
      </c>
      <c r="F196" s="361">
        <f t="shared" si="26"/>
        <v>0.16134997688395747</v>
      </c>
      <c r="G196" s="336">
        <f t="shared" si="27"/>
        <v>1689.49341103393</v>
      </c>
      <c r="H196" s="344">
        <f t="shared" si="33"/>
        <v>0</v>
      </c>
      <c r="I196" s="362">
        <f t="shared" si="34"/>
        <v>0</v>
      </c>
      <c r="J196" s="357"/>
      <c r="K196" s="363">
        <f>Données!Y196</f>
        <v>0</v>
      </c>
      <c r="L196" s="324">
        <f>Données!Z196</f>
        <v>1.9E-2</v>
      </c>
      <c r="M196" s="336">
        <f t="shared" si="28"/>
        <v>11.111523244312563</v>
      </c>
      <c r="N196" s="362">
        <f t="shared" si="29"/>
        <v>0</v>
      </c>
      <c r="O196" s="357"/>
      <c r="P196" s="318">
        <f>Données!AA196</f>
        <v>164</v>
      </c>
      <c r="Q196" s="359">
        <f>Données!AB196</f>
        <v>64</v>
      </c>
      <c r="R196" s="302">
        <f t="shared" si="30"/>
        <v>173.6</v>
      </c>
      <c r="S196" s="364">
        <f t="shared" si="31"/>
        <v>8.0258899676375409E-2</v>
      </c>
      <c r="T196" s="344">
        <f t="shared" si="32"/>
        <v>295.08313648043986</v>
      </c>
      <c r="U196" s="344">
        <f t="shared" si="35"/>
        <v>0</v>
      </c>
      <c r="V196" s="362">
        <f t="shared" si="36"/>
        <v>0</v>
      </c>
      <c r="W196" s="436"/>
      <c r="X196" s="302">
        <f t="shared" si="37"/>
        <v>0</v>
      </c>
      <c r="Y196" s="322">
        <f t="shared" si="38"/>
        <v>0</v>
      </c>
    </row>
    <row r="197" spans="1:25" x14ac:dyDescent="0.25">
      <c r="A197" s="148">
        <f>Données!A197</f>
        <v>5724</v>
      </c>
      <c r="B197" s="156" t="str">
        <f>Données!B197</f>
        <v>Nyon</v>
      </c>
      <c r="C197" s="321">
        <f>Données!C197</f>
        <v>23328</v>
      </c>
      <c r="D197" s="336"/>
      <c r="E197" s="318">
        <f>Données!X197</f>
        <v>683</v>
      </c>
      <c r="F197" s="361">
        <f t="shared" si="26"/>
        <v>2.9278120713305898E-2</v>
      </c>
      <c r="G197" s="336">
        <f t="shared" si="27"/>
        <v>18221.221586962329</v>
      </c>
      <c r="H197" s="344">
        <f t="shared" si="33"/>
        <v>0</v>
      </c>
      <c r="I197" s="362">
        <f t="shared" si="34"/>
        <v>0</v>
      </c>
      <c r="J197" s="357"/>
      <c r="K197" s="363">
        <f>Données!Y197</f>
        <v>0</v>
      </c>
      <c r="L197" s="324">
        <f>Données!Z197</f>
        <v>5.8000000000000003E-2</v>
      </c>
      <c r="M197" s="336">
        <f t="shared" si="28"/>
        <v>33.919386745796245</v>
      </c>
      <c r="N197" s="362">
        <f t="shared" si="29"/>
        <v>0</v>
      </c>
      <c r="O197" s="357"/>
      <c r="P197" s="318">
        <f>Données!AA197</f>
        <v>2473</v>
      </c>
      <c r="Q197" s="359">
        <f>Données!AB197</f>
        <v>28</v>
      </c>
      <c r="R197" s="302">
        <f t="shared" si="30"/>
        <v>2477.1999999999998</v>
      </c>
      <c r="S197" s="364">
        <f t="shared" si="31"/>
        <v>0.10618998628257886</v>
      </c>
      <c r="T197" s="344">
        <f t="shared" si="32"/>
        <v>3182.4777659804445</v>
      </c>
      <c r="U197" s="344">
        <f t="shared" si="35"/>
        <v>0</v>
      </c>
      <c r="V197" s="362">
        <f t="shared" si="36"/>
        <v>0</v>
      </c>
      <c r="W197" s="436"/>
      <c r="X197" s="302">
        <f t="shared" si="37"/>
        <v>0</v>
      </c>
      <c r="Y197" s="322">
        <f t="shared" si="38"/>
        <v>0</v>
      </c>
    </row>
    <row r="198" spans="1:25" x14ac:dyDescent="0.25">
      <c r="A198" s="148">
        <f>Données!A198</f>
        <v>5725</v>
      </c>
      <c r="B198" s="156" t="str">
        <f>Données!B198</f>
        <v>Prangins</v>
      </c>
      <c r="C198" s="321">
        <f>Données!C198</f>
        <v>4280</v>
      </c>
      <c r="D198" s="336"/>
      <c r="E198" s="318">
        <f>Données!X198</f>
        <v>600</v>
      </c>
      <c r="F198" s="361">
        <f t="shared" si="26"/>
        <v>0.14018691588785046</v>
      </c>
      <c r="G198" s="336">
        <f t="shared" si="27"/>
        <v>3343.0567726422655</v>
      </c>
      <c r="H198" s="344">
        <f t="shared" si="33"/>
        <v>0</v>
      </c>
      <c r="I198" s="362">
        <f t="shared" si="34"/>
        <v>0</v>
      </c>
      <c r="J198" s="357"/>
      <c r="K198" s="363">
        <f>Données!Y198</f>
        <v>0</v>
      </c>
      <c r="L198" s="324">
        <f>Données!Z198</f>
        <v>2.8000000000000001E-2</v>
      </c>
      <c r="M198" s="336">
        <f t="shared" si="28"/>
        <v>16.374876360039565</v>
      </c>
      <c r="N198" s="362">
        <f t="shared" si="29"/>
        <v>0</v>
      </c>
      <c r="O198" s="357"/>
      <c r="P198" s="318">
        <f>Données!AA198</f>
        <v>483</v>
      </c>
      <c r="Q198" s="359">
        <f>Données!AB198</f>
        <v>115</v>
      </c>
      <c r="R198" s="302">
        <f t="shared" si="30"/>
        <v>500.25</v>
      </c>
      <c r="S198" s="364">
        <f t="shared" si="31"/>
        <v>0.11688084112149533</v>
      </c>
      <c r="T198" s="344">
        <f t="shared" si="32"/>
        <v>583.89081097377834</v>
      </c>
      <c r="U198" s="344">
        <f t="shared" si="35"/>
        <v>0</v>
      </c>
      <c r="V198" s="362">
        <f t="shared" si="36"/>
        <v>0</v>
      </c>
      <c r="W198" s="436"/>
      <c r="X198" s="302">
        <f t="shared" si="37"/>
        <v>0</v>
      </c>
      <c r="Y198" s="322">
        <f t="shared" si="38"/>
        <v>0</v>
      </c>
    </row>
    <row r="199" spans="1:25" x14ac:dyDescent="0.25">
      <c r="A199" s="148">
        <f>Données!A199</f>
        <v>5726</v>
      </c>
      <c r="B199" s="156" t="str">
        <f>Données!B199</f>
        <v>La Rippe</v>
      </c>
      <c r="C199" s="321">
        <f>Données!C199</f>
        <v>1194</v>
      </c>
      <c r="D199" s="336"/>
      <c r="E199" s="318">
        <f>Données!X199</f>
        <v>1646</v>
      </c>
      <c r="F199" s="361">
        <f t="shared" si="26"/>
        <v>1.3785594639865997</v>
      </c>
      <c r="G199" s="336">
        <f t="shared" si="27"/>
        <v>932.61910900347311</v>
      </c>
      <c r="H199" s="344">
        <f t="shared" si="33"/>
        <v>713.38089099652689</v>
      </c>
      <c r="I199" s="362">
        <f t="shared" si="34"/>
        <v>-75854</v>
      </c>
      <c r="J199" s="357"/>
      <c r="K199" s="363">
        <f>Données!Y199</f>
        <v>0</v>
      </c>
      <c r="L199" s="324">
        <f>Données!Z199</f>
        <v>0.29699999999999999</v>
      </c>
      <c r="M199" s="336">
        <f t="shared" si="28"/>
        <v>173.69065281899111</v>
      </c>
      <c r="N199" s="362">
        <f t="shared" si="29"/>
        <v>0</v>
      </c>
      <c r="O199" s="357"/>
      <c r="P199" s="318">
        <f>Données!AA199</f>
        <v>147</v>
      </c>
      <c r="Q199" s="359">
        <f>Données!AB199</f>
        <v>47</v>
      </c>
      <c r="R199" s="302">
        <f t="shared" si="30"/>
        <v>154.05000000000001</v>
      </c>
      <c r="S199" s="364">
        <f t="shared" si="31"/>
        <v>0.12902010050251259</v>
      </c>
      <c r="T199" s="344">
        <f t="shared" si="32"/>
        <v>162.88916549128302</v>
      </c>
      <c r="U199" s="344">
        <f t="shared" si="35"/>
        <v>0</v>
      </c>
      <c r="V199" s="362">
        <f t="shared" si="36"/>
        <v>0</v>
      </c>
      <c r="W199" s="436"/>
      <c r="X199" s="302">
        <f t="shared" si="37"/>
        <v>0</v>
      </c>
      <c r="Y199" s="322">
        <f t="shared" si="38"/>
        <v>0</v>
      </c>
    </row>
    <row r="200" spans="1:25" x14ac:dyDescent="0.25">
      <c r="A200" s="148">
        <f>Données!A200</f>
        <v>5727</v>
      </c>
      <c r="B200" s="156" t="str">
        <f>Données!B200</f>
        <v>Saint-Cergue</v>
      </c>
      <c r="C200" s="321">
        <f>Données!C200</f>
        <v>3012</v>
      </c>
      <c r="D200" s="336"/>
      <c r="E200" s="318">
        <f>Données!X200</f>
        <v>2413</v>
      </c>
      <c r="F200" s="361">
        <f t="shared" ref="F200:F263" si="39">E200/C200</f>
        <v>0.80112881806108893</v>
      </c>
      <c r="G200" s="336">
        <f t="shared" ref="G200:G263" si="40">C200*$I$4</f>
        <v>2352.6371493454449</v>
      </c>
      <c r="H200" s="344">
        <f t="shared" si="33"/>
        <v>60.362850654555132</v>
      </c>
      <c r="I200" s="362">
        <f t="shared" si="34"/>
        <v>-6418</v>
      </c>
      <c r="J200" s="357"/>
      <c r="K200" s="363">
        <f>Données!Y200</f>
        <v>3012</v>
      </c>
      <c r="L200" s="324">
        <f>Données!Z200</f>
        <v>0.27</v>
      </c>
      <c r="M200" s="336">
        <f t="shared" ref="M200:M263" si="41">L200*$N$5</f>
        <v>157.90059347181011</v>
      </c>
      <c r="N200" s="362">
        <f t="shared" ref="N200:N263" si="42">ROUND(-M200*K200,0)</f>
        <v>-475597</v>
      </c>
      <c r="O200" s="357"/>
      <c r="P200" s="318">
        <f>Données!AA200</f>
        <v>349</v>
      </c>
      <c r="Q200" s="359">
        <f>Données!AB200</f>
        <v>163</v>
      </c>
      <c r="R200" s="302">
        <f t="shared" ref="R200:R263" si="43">P200*$P$6+Q200*$Q$6</f>
        <v>373.45</v>
      </c>
      <c r="S200" s="364">
        <f t="shared" ref="S200:S263" si="44">R200/C200</f>
        <v>0.12398738379814077</v>
      </c>
      <c r="T200" s="344">
        <f t="shared" ref="T200:T263" si="45">$V$4*C200</f>
        <v>410.90633706846273</v>
      </c>
      <c r="U200" s="344">
        <f t="shared" si="35"/>
        <v>0</v>
      </c>
      <c r="V200" s="362">
        <f t="shared" si="36"/>
        <v>0</v>
      </c>
      <c r="W200" s="436"/>
      <c r="X200" s="302">
        <f t="shared" si="37"/>
        <v>0</v>
      </c>
      <c r="Y200" s="322">
        <f t="shared" si="38"/>
        <v>0</v>
      </c>
    </row>
    <row r="201" spans="1:25" x14ac:dyDescent="0.25">
      <c r="A201" s="148">
        <f>Données!A201</f>
        <v>5728</v>
      </c>
      <c r="B201" s="156" t="str">
        <f>Données!B201</f>
        <v>Signy-Avenex</v>
      </c>
      <c r="C201" s="321">
        <f>Données!C201</f>
        <v>605</v>
      </c>
      <c r="D201" s="336"/>
      <c r="E201" s="318">
        <f>Données!X201</f>
        <v>193</v>
      </c>
      <c r="F201" s="361">
        <f t="shared" si="39"/>
        <v>0.31900826446280994</v>
      </c>
      <c r="G201" s="336">
        <f t="shared" si="40"/>
        <v>472.55825874966604</v>
      </c>
      <c r="H201" s="344">
        <f t="shared" ref="H201:H264" si="46">IF(E201&gt;G201,E201-G201,0)</f>
        <v>0</v>
      </c>
      <c r="I201" s="362">
        <f t="shared" ref="I201:I264" si="47">ROUND(-H201*$I$5,0)</f>
        <v>0</v>
      </c>
      <c r="J201" s="357"/>
      <c r="K201" s="363">
        <f>Données!Y201</f>
        <v>0</v>
      </c>
      <c r="L201" s="324">
        <f>Données!Z201</f>
        <v>8.9999999999999993E-3</v>
      </c>
      <c r="M201" s="336">
        <f t="shared" si="41"/>
        <v>5.2633531157270026</v>
      </c>
      <c r="N201" s="362">
        <f t="shared" si="42"/>
        <v>0</v>
      </c>
      <c r="O201" s="357"/>
      <c r="P201" s="318">
        <f>Données!AA201</f>
        <v>67</v>
      </c>
      <c r="Q201" s="359">
        <f>Données!AB201</f>
        <v>57</v>
      </c>
      <c r="R201" s="302">
        <f t="shared" si="43"/>
        <v>75.55</v>
      </c>
      <c r="S201" s="364">
        <f t="shared" si="44"/>
        <v>0.12487603305785124</v>
      </c>
      <c r="T201" s="344">
        <f t="shared" si="45"/>
        <v>82.535967439050452</v>
      </c>
      <c r="U201" s="344">
        <f t="shared" ref="U201:U264" si="48">IF(R201&gt;T201,R201-T201,0)</f>
        <v>0</v>
      </c>
      <c r="V201" s="362">
        <f t="shared" ref="V201:V264" si="49">ROUND(-$V$5*U201,0)</f>
        <v>0</v>
      </c>
      <c r="W201" s="436"/>
      <c r="X201" s="302">
        <f t="shared" ref="X201:X264" si="50">IF(-Q201*$Q$6*$V$5&gt;V201,-Q201*$Q$6*$V$5,V201)</f>
        <v>0</v>
      </c>
      <c r="Y201" s="322">
        <f t="shared" ref="Y201:Y264" si="51">IF(X201&gt;V201,V201-X201,0)</f>
        <v>0</v>
      </c>
    </row>
    <row r="202" spans="1:25" x14ac:dyDescent="0.25">
      <c r="A202" s="148">
        <f>Données!A202</f>
        <v>5729</v>
      </c>
      <c r="B202" s="156" t="str">
        <f>Données!B202</f>
        <v>Tannay</v>
      </c>
      <c r="C202" s="321">
        <f>Données!C202</f>
        <v>1728</v>
      </c>
      <c r="D202" s="336"/>
      <c r="E202" s="318">
        <f>Données!X202</f>
        <v>178</v>
      </c>
      <c r="F202" s="361">
        <f t="shared" si="39"/>
        <v>0.10300925925925926</v>
      </c>
      <c r="G202" s="336">
        <f t="shared" si="40"/>
        <v>1349.720117552765</v>
      </c>
      <c r="H202" s="344">
        <f t="shared" si="46"/>
        <v>0</v>
      </c>
      <c r="I202" s="362">
        <f t="shared" si="47"/>
        <v>0</v>
      </c>
      <c r="J202" s="357"/>
      <c r="K202" s="363">
        <f>Données!Y202</f>
        <v>0</v>
      </c>
      <c r="L202" s="324">
        <f>Données!Z202</f>
        <v>3.2000000000000001E-2</v>
      </c>
      <c r="M202" s="336">
        <f t="shared" si="41"/>
        <v>18.714144411473789</v>
      </c>
      <c r="N202" s="362">
        <f t="shared" si="42"/>
        <v>0</v>
      </c>
      <c r="O202" s="357"/>
      <c r="P202" s="318">
        <f>Données!AA202</f>
        <v>145</v>
      </c>
      <c r="Q202" s="359">
        <f>Données!AB202</f>
        <v>6</v>
      </c>
      <c r="R202" s="302">
        <f t="shared" si="43"/>
        <v>145.9</v>
      </c>
      <c r="S202" s="364">
        <f t="shared" si="44"/>
        <v>8.443287037037038E-2</v>
      </c>
      <c r="T202" s="344">
        <f t="shared" si="45"/>
        <v>235.73909377632921</v>
      </c>
      <c r="U202" s="344">
        <f t="shared" si="48"/>
        <v>0</v>
      </c>
      <c r="V202" s="362">
        <f t="shared" si="49"/>
        <v>0</v>
      </c>
      <c r="W202" s="436"/>
      <c r="X202" s="302">
        <f t="shared" si="50"/>
        <v>0</v>
      </c>
      <c r="Y202" s="322">
        <f t="shared" si="51"/>
        <v>0</v>
      </c>
    </row>
    <row r="203" spans="1:25" x14ac:dyDescent="0.25">
      <c r="A203" s="148">
        <f>Données!A203</f>
        <v>5730</v>
      </c>
      <c r="B203" s="156" t="str">
        <f>Données!B203</f>
        <v>Trélex</v>
      </c>
      <c r="C203" s="321">
        <f>Données!C203</f>
        <v>1428</v>
      </c>
      <c r="D203" s="336"/>
      <c r="E203" s="318">
        <f>Données!X203</f>
        <v>584</v>
      </c>
      <c r="F203" s="361">
        <f t="shared" si="39"/>
        <v>0.40896358543417366</v>
      </c>
      <c r="G203" s="336">
        <f t="shared" si="40"/>
        <v>1115.39370825541</v>
      </c>
      <c r="H203" s="344">
        <f t="shared" si="46"/>
        <v>0</v>
      </c>
      <c r="I203" s="362">
        <f t="shared" si="47"/>
        <v>0</v>
      </c>
      <c r="J203" s="357"/>
      <c r="K203" s="363">
        <f>Données!Y203</f>
        <v>0</v>
      </c>
      <c r="L203" s="324">
        <f>Données!Z203</f>
        <v>7.0000000000000007E-2</v>
      </c>
      <c r="M203" s="336">
        <f t="shared" si="41"/>
        <v>40.937190900098919</v>
      </c>
      <c r="N203" s="362">
        <f t="shared" si="42"/>
        <v>0</v>
      </c>
      <c r="O203" s="357"/>
      <c r="P203" s="318">
        <f>Données!AA203</f>
        <v>155</v>
      </c>
      <c r="Q203" s="359">
        <f>Données!AB203</f>
        <v>79</v>
      </c>
      <c r="R203" s="302">
        <f t="shared" si="43"/>
        <v>166.85</v>
      </c>
      <c r="S203" s="364">
        <f t="shared" si="44"/>
        <v>0.11684173669467787</v>
      </c>
      <c r="T203" s="344">
        <f t="shared" si="45"/>
        <v>194.81216777349428</v>
      </c>
      <c r="U203" s="344">
        <f t="shared" si="48"/>
        <v>0</v>
      </c>
      <c r="V203" s="362">
        <f t="shared" si="49"/>
        <v>0</v>
      </c>
      <c r="W203" s="436"/>
      <c r="X203" s="302">
        <f t="shared" si="50"/>
        <v>0</v>
      </c>
      <c r="Y203" s="322">
        <f t="shared" si="51"/>
        <v>0</v>
      </c>
    </row>
    <row r="204" spans="1:25" x14ac:dyDescent="0.25">
      <c r="A204" s="148">
        <f>Données!A204</f>
        <v>5731</v>
      </c>
      <c r="B204" s="156" t="str">
        <f>Données!B204</f>
        <v>Le Vaud</v>
      </c>
      <c r="C204" s="321">
        <f>Données!C204</f>
        <v>1374</v>
      </c>
      <c r="D204" s="336"/>
      <c r="E204" s="318">
        <f>Données!X204</f>
        <v>313</v>
      </c>
      <c r="F204" s="361">
        <f t="shared" si="39"/>
        <v>0.22780203784570596</v>
      </c>
      <c r="G204" s="336">
        <f t="shared" si="40"/>
        <v>1073.2149545818861</v>
      </c>
      <c r="H204" s="344">
        <f t="shared" si="46"/>
        <v>0</v>
      </c>
      <c r="I204" s="362">
        <f t="shared" si="47"/>
        <v>0</v>
      </c>
      <c r="J204" s="357"/>
      <c r="K204" s="363">
        <f>Données!Y204</f>
        <v>1370</v>
      </c>
      <c r="L204" s="324">
        <f>Données!Z204</f>
        <v>0.13500000000000001</v>
      </c>
      <c r="M204" s="336">
        <f t="shared" si="41"/>
        <v>78.950296735905056</v>
      </c>
      <c r="N204" s="362">
        <f t="shared" si="42"/>
        <v>-108162</v>
      </c>
      <c r="O204" s="357"/>
      <c r="P204" s="318">
        <f>Données!AA204</f>
        <v>162</v>
      </c>
      <c r="Q204" s="359">
        <f>Données!AB204</f>
        <v>46</v>
      </c>
      <c r="R204" s="302">
        <f t="shared" si="43"/>
        <v>168.9</v>
      </c>
      <c r="S204" s="364">
        <f t="shared" si="44"/>
        <v>0.12292576419213974</v>
      </c>
      <c r="T204" s="344">
        <f t="shared" si="45"/>
        <v>187.44532109298399</v>
      </c>
      <c r="U204" s="344">
        <f t="shared" si="48"/>
        <v>0</v>
      </c>
      <c r="V204" s="362">
        <f t="shared" si="49"/>
        <v>0</v>
      </c>
      <c r="W204" s="436"/>
      <c r="X204" s="302">
        <f t="shared" si="50"/>
        <v>0</v>
      </c>
      <c r="Y204" s="322">
        <f t="shared" si="51"/>
        <v>0</v>
      </c>
    </row>
    <row r="205" spans="1:25" x14ac:dyDescent="0.25">
      <c r="A205" s="148">
        <f>Données!A205</f>
        <v>5732</v>
      </c>
      <c r="B205" s="156" t="str">
        <f>Données!B205</f>
        <v>Vich</v>
      </c>
      <c r="C205" s="321">
        <f>Données!C205</f>
        <v>1179</v>
      </c>
      <c r="D205" s="336"/>
      <c r="E205" s="318">
        <f>Données!X205</f>
        <v>152</v>
      </c>
      <c r="F205" s="361">
        <f t="shared" si="39"/>
        <v>0.1289228159457167</v>
      </c>
      <c r="G205" s="336">
        <f t="shared" si="40"/>
        <v>920.90278853860536</v>
      </c>
      <c r="H205" s="344">
        <f t="shared" si="46"/>
        <v>0</v>
      </c>
      <c r="I205" s="362">
        <f t="shared" si="47"/>
        <v>0</v>
      </c>
      <c r="J205" s="357"/>
      <c r="K205" s="363">
        <f>Données!Y205</f>
        <v>0</v>
      </c>
      <c r="L205" s="324">
        <f>Données!Z205</f>
        <v>0.108</v>
      </c>
      <c r="M205" s="336">
        <f t="shared" si="41"/>
        <v>63.160237388724042</v>
      </c>
      <c r="N205" s="362">
        <f t="shared" si="42"/>
        <v>0</v>
      </c>
      <c r="O205" s="357"/>
      <c r="P205" s="318">
        <f>Données!AA205</f>
        <v>147</v>
      </c>
      <c r="Q205" s="359">
        <f>Données!AB205</f>
        <v>16</v>
      </c>
      <c r="R205" s="302">
        <f t="shared" si="43"/>
        <v>149.4</v>
      </c>
      <c r="S205" s="364">
        <f t="shared" si="44"/>
        <v>0.12671755725190839</v>
      </c>
      <c r="T205" s="344">
        <f t="shared" si="45"/>
        <v>160.84281919114127</v>
      </c>
      <c r="U205" s="344">
        <f t="shared" si="48"/>
        <v>0</v>
      </c>
      <c r="V205" s="362">
        <f t="shared" si="49"/>
        <v>0</v>
      </c>
      <c r="W205" s="436"/>
      <c r="X205" s="302">
        <f t="shared" si="50"/>
        <v>0</v>
      </c>
      <c r="Y205" s="322">
        <f t="shared" si="51"/>
        <v>0</v>
      </c>
    </row>
    <row r="206" spans="1:25" x14ac:dyDescent="0.25">
      <c r="A206" s="148">
        <f>Données!A206</f>
        <v>5741</v>
      </c>
      <c r="B206" s="156" t="str">
        <f>Données!B206</f>
        <v>L'Abergement</v>
      </c>
      <c r="C206" s="321">
        <f>Données!C206</f>
        <v>270</v>
      </c>
      <c r="D206" s="336"/>
      <c r="E206" s="318">
        <f>Données!X206</f>
        <v>581</v>
      </c>
      <c r="F206" s="361">
        <f t="shared" si="39"/>
        <v>2.1518518518518519</v>
      </c>
      <c r="G206" s="336">
        <f t="shared" si="40"/>
        <v>210.89376836761954</v>
      </c>
      <c r="H206" s="344">
        <f t="shared" si="46"/>
        <v>370.10623163238046</v>
      </c>
      <c r="I206" s="362">
        <f t="shared" si="47"/>
        <v>-39354</v>
      </c>
      <c r="J206" s="357"/>
      <c r="K206" s="363">
        <f>Données!Y206</f>
        <v>25</v>
      </c>
      <c r="L206" s="324">
        <f>Données!Z206</f>
        <v>0.30199999999999999</v>
      </c>
      <c r="M206" s="336">
        <f t="shared" si="41"/>
        <v>176.61473788328388</v>
      </c>
      <c r="N206" s="362">
        <f t="shared" si="42"/>
        <v>-4415</v>
      </c>
      <c r="O206" s="357"/>
      <c r="P206" s="318">
        <f>Données!AA206</f>
        <v>28</v>
      </c>
      <c r="Q206" s="359">
        <f>Données!AB206</f>
        <v>28</v>
      </c>
      <c r="R206" s="302">
        <f t="shared" si="43"/>
        <v>32.200000000000003</v>
      </c>
      <c r="S206" s="364">
        <f t="shared" si="44"/>
        <v>0.11925925925925927</v>
      </c>
      <c r="T206" s="344">
        <f t="shared" si="45"/>
        <v>36.83423340255144</v>
      </c>
      <c r="U206" s="344">
        <f t="shared" si="48"/>
        <v>0</v>
      </c>
      <c r="V206" s="362">
        <f t="shared" si="49"/>
        <v>0</v>
      </c>
      <c r="W206" s="436"/>
      <c r="X206" s="302">
        <f t="shared" si="50"/>
        <v>0</v>
      </c>
      <c r="Y206" s="322">
        <f t="shared" si="51"/>
        <v>0</v>
      </c>
    </row>
    <row r="207" spans="1:25" x14ac:dyDescent="0.25">
      <c r="A207" s="148">
        <f>Données!A207</f>
        <v>5742</v>
      </c>
      <c r="B207" s="156" t="str">
        <f>Données!B207</f>
        <v>Agiez</v>
      </c>
      <c r="C207" s="321">
        <f>Données!C207</f>
        <v>373</v>
      </c>
      <c r="D207" s="336"/>
      <c r="E207" s="318">
        <f>Données!X207</f>
        <v>543</v>
      </c>
      <c r="F207" s="361">
        <f t="shared" si="39"/>
        <v>1.4557640750670242</v>
      </c>
      <c r="G207" s="336">
        <f t="shared" si="40"/>
        <v>291.34583555971147</v>
      </c>
      <c r="H207" s="344">
        <f t="shared" si="46"/>
        <v>251.65416444028853</v>
      </c>
      <c r="I207" s="362">
        <f t="shared" si="47"/>
        <v>-26758</v>
      </c>
      <c r="J207" s="357"/>
      <c r="K207" s="363">
        <f>Données!Y207</f>
        <v>0</v>
      </c>
      <c r="L207" s="324">
        <f>Données!Z207</f>
        <v>7.0999999999999994E-2</v>
      </c>
      <c r="M207" s="336">
        <f t="shared" si="41"/>
        <v>41.52200791295747</v>
      </c>
      <c r="N207" s="362">
        <f t="shared" si="42"/>
        <v>0</v>
      </c>
      <c r="O207" s="357"/>
      <c r="P207" s="318">
        <f>Données!AA207</f>
        <v>55</v>
      </c>
      <c r="Q207" s="359">
        <f>Données!AB207</f>
        <v>28</v>
      </c>
      <c r="R207" s="302">
        <f t="shared" si="43"/>
        <v>59.2</v>
      </c>
      <c r="S207" s="364">
        <f t="shared" si="44"/>
        <v>0.15871313672922252</v>
      </c>
      <c r="T207" s="344">
        <f t="shared" si="45"/>
        <v>50.88581133019143</v>
      </c>
      <c r="U207" s="344">
        <f t="shared" si="48"/>
        <v>8.3141886698085727</v>
      </c>
      <c r="V207" s="362">
        <f t="shared" si="49"/>
        <v>-35362</v>
      </c>
      <c r="W207" s="436"/>
      <c r="X207" s="302">
        <f t="shared" si="50"/>
        <v>-17863.501483679524</v>
      </c>
      <c r="Y207" s="322">
        <f t="shared" si="51"/>
        <v>-17498.498516320476</v>
      </c>
    </row>
    <row r="208" spans="1:25" x14ac:dyDescent="0.25">
      <c r="A208" s="148">
        <f>Données!A208</f>
        <v>5743</v>
      </c>
      <c r="B208" s="156" t="str">
        <f>Données!B208</f>
        <v>Arnex-sur-Orbe</v>
      </c>
      <c r="C208" s="321">
        <f>Données!C208</f>
        <v>697</v>
      </c>
      <c r="D208" s="336"/>
      <c r="E208" s="318">
        <f>Données!X208</f>
        <v>756</v>
      </c>
      <c r="F208" s="361">
        <f t="shared" si="39"/>
        <v>1.084648493543759</v>
      </c>
      <c r="G208" s="336">
        <f t="shared" si="40"/>
        <v>544.41835760085496</v>
      </c>
      <c r="H208" s="344">
        <f t="shared" si="46"/>
        <v>211.58164239914504</v>
      </c>
      <c r="I208" s="362">
        <f t="shared" si="47"/>
        <v>-22498</v>
      </c>
      <c r="J208" s="357"/>
      <c r="K208" s="363">
        <f>Données!Y208</f>
        <v>0</v>
      </c>
      <c r="L208" s="324">
        <f>Données!Z208</f>
        <v>5.1999999999999998E-2</v>
      </c>
      <c r="M208" s="336">
        <f t="shared" si="41"/>
        <v>30.410484668644905</v>
      </c>
      <c r="N208" s="362">
        <f t="shared" si="42"/>
        <v>0</v>
      </c>
      <c r="O208" s="357"/>
      <c r="P208" s="318">
        <f>Données!AA208</f>
        <v>82</v>
      </c>
      <c r="Q208" s="359">
        <f>Données!AB208</f>
        <v>50</v>
      </c>
      <c r="R208" s="302">
        <f t="shared" si="43"/>
        <v>89.5</v>
      </c>
      <c r="S208" s="364">
        <f t="shared" si="44"/>
        <v>0.1284074605451937</v>
      </c>
      <c r="T208" s="344">
        <f t="shared" si="45"/>
        <v>95.086891413253156</v>
      </c>
      <c r="U208" s="344">
        <f t="shared" si="48"/>
        <v>0</v>
      </c>
      <c r="V208" s="362">
        <f t="shared" si="49"/>
        <v>0</v>
      </c>
      <c r="W208" s="436"/>
      <c r="X208" s="302">
        <f t="shared" si="50"/>
        <v>0</v>
      </c>
      <c r="Y208" s="322">
        <f t="shared" si="51"/>
        <v>0</v>
      </c>
    </row>
    <row r="209" spans="1:25" x14ac:dyDescent="0.25">
      <c r="A209" s="148">
        <f>Données!A209</f>
        <v>5744</v>
      </c>
      <c r="B209" s="156" t="str">
        <f>Données!B209</f>
        <v>Ballaigues</v>
      </c>
      <c r="C209" s="321">
        <f>Données!C209</f>
        <v>1209</v>
      </c>
      <c r="D209" s="336"/>
      <c r="E209" s="318">
        <f>Données!X209</f>
        <v>902</v>
      </c>
      <c r="F209" s="361">
        <f t="shared" si="39"/>
        <v>0.74607113316790741</v>
      </c>
      <c r="G209" s="336">
        <f t="shared" si="40"/>
        <v>944.33542946834086</v>
      </c>
      <c r="H209" s="344">
        <f t="shared" si="46"/>
        <v>0</v>
      </c>
      <c r="I209" s="362">
        <f t="shared" si="47"/>
        <v>0</v>
      </c>
      <c r="J209" s="357"/>
      <c r="K209" s="363">
        <f>Données!Y209</f>
        <v>1209</v>
      </c>
      <c r="L209" s="324">
        <f>Données!Z209</f>
        <v>0.23899999999999999</v>
      </c>
      <c r="M209" s="336">
        <f t="shared" si="41"/>
        <v>139.77126607319485</v>
      </c>
      <c r="N209" s="362">
        <f t="shared" si="42"/>
        <v>-168983</v>
      </c>
      <c r="O209" s="357"/>
      <c r="P209" s="318">
        <f>Données!AA209</f>
        <v>146</v>
      </c>
      <c r="Q209" s="359">
        <f>Données!AB209</f>
        <v>77</v>
      </c>
      <c r="R209" s="302">
        <f t="shared" si="43"/>
        <v>157.55000000000001</v>
      </c>
      <c r="S209" s="364">
        <f t="shared" si="44"/>
        <v>0.13031430934656743</v>
      </c>
      <c r="T209" s="344">
        <f t="shared" si="45"/>
        <v>164.93551179142477</v>
      </c>
      <c r="U209" s="344">
        <f t="shared" si="48"/>
        <v>0</v>
      </c>
      <c r="V209" s="362">
        <f t="shared" si="49"/>
        <v>0</v>
      </c>
      <c r="W209" s="436"/>
      <c r="X209" s="302">
        <f t="shared" si="50"/>
        <v>0</v>
      </c>
      <c r="Y209" s="322">
        <f t="shared" si="51"/>
        <v>0</v>
      </c>
    </row>
    <row r="210" spans="1:25" x14ac:dyDescent="0.25">
      <c r="A210" s="148">
        <f>Données!A210</f>
        <v>5745</v>
      </c>
      <c r="B210" s="156" t="str">
        <f>Données!B210</f>
        <v>Baulmes</v>
      </c>
      <c r="C210" s="321">
        <f>Données!C210</f>
        <v>1168</v>
      </c>
      <c r="D210" s="336"/>
      <c r="E210" s="318">
        <f>Données!X210</f>
        <v>2229</v>
      </c>
      <c r="F210" s="361">
        <f t="shared" si="39"/>
        <v>1.908390410958904</v>
      </c>
      <c r="G210" s="336">
        <f t="shared" si="40"/>
        <v>912.31082019770236</v>
      </c>
      <c r="H210" s="344">
        <f t="shared" si="46"/>
        <v>1316.6891798022975</v>
      </c>
      <c r="I210" s="362">
        <f t="shared" si="47"/>
        <v>-140004</v>
      </c>
      <c r="J210" s="357"/>
      <c r="K210" s="363">
        <f>Données!Y210</f>
        <v>0</v>
      </c>
      <c r="L210" s="324">
        <f>Données!Z210</f>
        <v>0.42499999999999999</v>
      </c>
      <c r="M210" s="336">
        <f t="shared" si="41"/>
        <v>248.54723046488627</v>
      </c>
      <c r="N210" s="362">
        <f t="shared" si="42"/>
        <v>0</v>
      </c>
      <c r="O210" s="357"/>
      <c r="P210" s="318">
        <f>Données!AA210</f>
        <v>123</v>
      </c>
      <c r="Q210" s="359">
        <f>Données!AB210</f>
        <v>27</v>
      </c>
      <c r="R210" s="302">
        <f t="shared" si="43"/>
        <v>127.05</v>
      </c>
      <c r="S210" s="364">
        <f t="shared" si="44"/>
        <v>0.10877568493150684</v>
      </c>
      <c r="T210" s="344">
        <f t="shared" si="45"/>
        <v>159.34216523770399</v>
      </c>
      <c r="U210" s="344">
        <f t="shared" si="48"/>
        <v>0</v>
      </c>
      <c r="V210" s="362">
        <f t="shared" si="49"/>
        <v>0</v>
      </c>
      <c r="W210" s="436"/>
      <c r="X210" s="302">
        <f t="shared" si="50"/>
        <v>0</v>
      </c>
      <c r="Y210" s="322">
        <f t="shared" si="51"/>
        <v>0</v>
      </c>
    </row>
    <row r="211" spans="1:25" x14ac:dyDescent="0.25">
      <c r="A211" s="148">
        <f>Données!A211</f>
        <v>5746</v>
      </c>
      <c r="B211" s="156" t="str">
        <f>Données!B211</f>
        <v>Bavois</v>
      </c>
      <c r="C211" s="321">
        <f>Données!C211</f>
        <v>1041</v>
      </c>
      <c r="D211" s="336"/>
      <c r="E211" s="318">
        <f>Données!X211</f>
        <v>923</v>
      </c>
      <c r="F211" s="361">
        <f t="shared" si="39"/>
        <v>0.88664745437079728</v>
      </c>
      <c r="G211" s="336">
        <f t="shared" si="40"/>
        <v>813.11264026182209</v>
      </c>
      <c r="H211" s="344">
        <f t="shared" si="46"/>
        <v>109.88735973817791</v>
      </c>
      <c r="I211" s="362">
        <f t="shared" si="47"/>
        <v>-11684</v>
      </c>
      <c r="J211" s="357"/>
      <c r="K211" s="363">
        <f>Données!Y211</f>
        <v>0</v>
      </c>
      <c r="L211" s="324">
        <f>Données!Z211</f>
        <v>6.3E-2</v>
      </c>
      <c r="M211" s="336">
        <f t="shared" si="41"/>
        <v>36.843471810089021</v>
      </c>
      <c r="N211" s="362">
        <f t="shared" si="42"/>
        <v>0</v>
      </c>
      <c r="O211" s="357"/>
      <c r="P211" s="318">
        <f>Données!AA211</f>
        <v>127</v>
      </c>
      <c r="Q211" s="359">
        <f>Données!AB211</f>
        <v>55</v>
      </c>
      <c r="R211" s="302">
        <f t="shared" si="43"/>
        <v>135.25</v>
      </c>
      <c r="S211" s="364">
        <f t="shared" si="44"/>
        <v>0.12992315081652259</v>
      </c>
      <c r="T211" s="344">
        <f t="shared" si="45"/>
        <v>142.01643322983722</v>
      </c>
      <c r="U211" s="344">
        <f t="shared" si="48"/>
        <v>0</v>
      </c>
      <c r="V211" s="362">
        <f t="shared" si="49"/>
        <v>0</v>
      </c>
      <c r="W211" s="436"/>
      <c r="X211" s="302">
        <f t="shared" si="50"/>
        <v>0</v>
      </c>
      <c r="Y211" s="322">
        <f t="shared" si="51"/>
        <v>0</v>
      </c>
    </row>
    <row r="212" spans="1:25" x14ac:dyDescent="0.25">
      <c r="A212" s="148">
        <f>Données!A212</f>
        <v>5747</v>
      </c>
      <c r="B212" s="156" t="str">
        <f>Données!B212</f>
        <v>Bofflens</v>
      </c>
      <c r="C212" s="321">
        <f>Données!C212</f>
        <v>200</v>
      </c>
      <c r="D212" s="336"/>
      <c r="E212" s="318">
        <f>Données!X212</f>
        <v>416</v>
      </c>
      <c r="F212" s="361">
        <f t="shared" si="39"/>
        <v>2.08</v>
      </c>
      <c r="G212" s="336">
        <f t="shared" si="40"/>
        <v>156.21760619823669</v>
      </c>
      <c r="H212" s="344">
        <f t="shared" si="46"/>
        <v>259.78239380176331</v>
      </c>
      <c r="I212" s="362">
        <f t="shared" si="47"/>
        <v>-27623</v>
      </c>
      <c r="J212" s="357"/>
      <c r="K212" s="363">
        <f>Données!Y212</f>
        <v>0</v>
      </c>
      <c r="L212" s="324">
        <f>Données!Z212</f>
        <v>2.1000000000000001E-2</v>
      </c>
      <c r="M212" s="336">
        <f t="shared" si="41"/>
        <v>12.281157270029675</v>
      </c>
      <c r="N212" s="362">
        <f t="shared" si="42"/>
        <v>0</v>
      </c>
      <c r="O212" s="357"/>
      <c r="P212" s="318">
        <f>Données!AA212</f>
        <v>25</v>
      </c>
      <c r="Q212" s="359">
        <f>Données!AB212</f>
        <v>25</v>
      </c>
      <c r="R212" s="302">
        <f t="shared" si="43"/>
        <v>28.75</v>
      </c>
      <c r="S212" s="364">
        <f t="shared" si="44"/>
        <v>0.14374999999999999</v>
      </c>
      <c r="T212" s="344">
        <f t="shared" si="45"/>
        <v>27.284617335223288</v>
      </c>
      <c r="U212" s="344">
        <f t="shared" si="48"/>
        <v>1.4653826647767119</v>
      </c>
      <c r="V212" s="362">
        <f t="shared" si="49"/>
        <v>-6233</v>
      </c>
      <c r="W212" s="436"/>
      <c r="X212" s="302">
        <f t="shared" si="50"/>
        <v>-6233</v>
      </c>
      <c r="Y212" s="322">
        <f t="shared" si="51"/>
        <v>0</v>
      </c>
    </row>
    <row r="213" spans="1:25" x14ac:dyDescent="0.25">
      <c r="A213" s="148">
        <f>Données!A213</f>
        <v>5748</v>
      </c>
      <c r="B213" s="156" t="str">
        <f>Données!B213</f>
        <v>Bretonnières</v>
      </c>
      <c r="C213" s="321">
        <f>Données!C213</f>
        <v>261</v>
      </c>
      <c r="D213" s="336"/>
      <c r="E213" s="318">
        <f>Données!X213</f>
        <v>548</v>
      </c>
      <c r="F213" s="361">
        <f t="shared" si="39"/>
        <v>2.0996168582375478</v>
      </c>
      <c r="G213" s="336">
        <f t="shared" si="40"/>
        <v>203.86397608869891</v>
      </c>
      <c r="H213" s="344">
        <f t="shared" si="46"/>
        <v>344.13602391130109</v>
      </c>
      <c r="I213" s="362">
        <f t="shared" si="47"/>
        <v>-36592</v>
      </c>
      <c r="J213" s="357"/>
      <c r="K213" s="363">
        <f>Données!Y213</f>
        <v>1</v>
      </c>
      <c r="L213" s="324">
        <f>Données!Z213</f>
        <v>0.13</v>
      </c>
      <c r="M213" s="336">
        <f t="shared" si="41"/>
        <v>76.026211671612273</v>
      </c>
      <c r="N213" s="362">
        <f t="shared" si="42"/>
        <v>-76</v>
      </c>
      <c r="O213" s="357"/>
      <c r="P213" s="318">
        <f>Données!AA213</f>
        <v>43</v>
      </c>
      <c r="Q213" s="359">
        <f>Données!AB213</f>
        <v>43</v>
      </c>
      <c r="R213" s="302">
        <f t="shared" si="43"/>
        <v>49.45</v>
      </c>
      <c r="S213" s="364">
        <f t="shared" si="44"/>
        <v>0.18946360153256706</v>
      </c>
      <c r="T213" s="344">
        <f t="shared" si="45"/>
        <v>35.606425622466389</v>
      </c>
      <c r="U213" s="344">
        <f t="shared" si="48"/>
        <v>13.843574377533614</v>
      </c>
      <c r="V213" s="362">
        <f t="shared" si="49"/>
        <v>-58880</v>
      </c>
      <c r="W213" s="436"/>
      <c r="X213" s="302">
        <f t="shared" si="50"/>
        <v>-27433.234421364985</v>
      </c>
      <c r="Y213" s="322">
        <f t="shared" si="51"/>
        <v>-31446.765578635015</v>
      </c>
    </row>
    <row r="214" spans="1:25" x14ac:dyDescent="0.25">
      <c r="A214" s="148">
        <f>Données!A214</f>
        <v>5749</v>
      </c>
      <c r="B214" s="156" t="str">
        <f>Données!B214</f>
        <v>Chavornay</v>
      </c>
      <c r="C214" s="321">
        <f>Données!C214</f>
        <v>5442</v>
      </c>
      <c r="D214" s="336"/>
      <c r="E214" s="318">
        <f>Données!X214</f>
        <v>1880</v>
      </c>
      <c r="F214" s="361">
        <f t="shared" si="39"/>
        <v>0.34546122748989344</v>
      </c>
      <c r="G214" s="336">
        <f t="shared" si="40"/>
        <v>4250.6810646540207</v>
      </c>
      <c r="H214" s="344">
        <f t="shared" si="46"/>
        <v>0</v>
      </c>
      <c r="I214" s="362">
        <f t="shared" si="47"/>
        <v>0</v>
      </c>
      <c r="J214" s="357"/>
      <c r="K214" s="363">
        <f>Données!Y214</f>
        <v>0</v>
      </c>
      <c r="L214" s="324">
        <f>Données!Z214</f>
        <v>4.2999999999999997E-2</v>
      </c>
      <c r="M214" s="336">
        <f t="shared" si="41"/>
        <v>25.147131552917902</v>
      </c>
      <c r="N214" s="362">
        <f t="shared" si="42"/>
        <v>0</v>
      </c>
      <c r="O214" s="357"/>
      <c r="P214" s="318">
        <f>Données!AA214</f>
        <v>730</v>
      </c>
      <c r="Q214" s="359">
        <f>Données!AB214</f>
        <v>124</v>
      </c>
      <c r="R214" s="302">
        <f t="shared" si="43"/>
        <v>748.6</v>
      </c>
      <c r="S214" s="364">
        <f t="shared" si="44"/>
        <v>0.13755972069092245</v>
      </c>
      <c r="T214" s="344">
        <f t="shared" si="45"/>
        <v>742.41443769142563</v>
      </c>
      <c r="U214" s="344">
        <f t="shared" si="48"/>
        <v>6.18556230857439</v>
      </c>
      <c r="V214" s="362">
        <f t="shared" si="49"/>
        <v>-26309</v>
      </c>
      <c r="W214" s="436"/>
      <c r="X214" s="302">
        <f t="shared" si="50"/>
        <v>-26309</v>
      </c>
      <c r="Y214" s="322">
        <f t="shared" si="51"/>
        <v>0</v>
      </c>
    </row>
    <row r="215" spans="1:25" x14ac:dyDescent="0.25">
      <c r="A215" s="148">
        <f>Données!A215</f>
        <v>5750</v>
      </c>
      <c r="B215" s="156" t="str">
        <f>Données!B215</f>
        <v>Les Clées</v>
      </c>
      <c r="C215" s="321">
        <f>Données!C215</f>
        <v>194</v>
      </c>
      <c r="D215" s="336"/>
      <c r="E215" s="318">
        <f>Données!X215</f>
        <v>692</v>
      </c>
      <c r="F215" s="361">
        <f t="shared" si="39"/>
        <v>3.5670103092783507</v>
      </c>
      <c r="G215" s="336">
        <f t="shared" si="40"/>
        <v>151.53107801228961</v>
      </c>
      <c r="H215" s="344">
        <f t="shared" si="46"/>
        <v>540.46892198771036</v>
      </c>
      <c r="I215" s="362">
        <f t="shared" si="47"/>
        <v>-57468</v>
      </c>
      <c r="J215" s="357"/>
      <c r="K215" s="363">
        <f>Données!Y215</f>
        <v>0</v>
      </c>
      <c r="L215" s="324">
        <f>Données!Z215</f>
        <v>0.35199999999999998</v>
      </c>
      <c r="M215" s="336">
        <f t="shared" si="41"/>
        <v>205.85558852621168</v>
      </c>
      <c r="N215" s="362">
        <f t="shared" si="42"/>
        <v>0</v>
      </c>
      <c r="O215" s="357"/>
      <c r="P215" s="318">
        <f>Données!AA215</f>
        <v>21</v>
      </c>
      <c r="Q215" s="359">
        <f>Données!AB215</f>
        <v>21</v>
      </c>
      <c r="R215" s="302">
        <f t="shared" si="43"/>
        <v>24.15</v>
      </c>
      <c r="S215" s="364">
        <f t="shared" si="44"/>
        <v>0.12448453608247421</v>
      </c>
      <c r="T215" s="344">
        <f t="shared" si="45"/>
        <v>26.46607881516659</v>
      </c>
      <c r="U215" s="344">
        <f t="shared" si="48"/>
        <v>0</v>
      </c>
      <c r="V215" s="362">
        <f t="shared" si="49"/>
        <v>0</v>
      </c>
      <c r="W215" s="436"/>
      <c r="X215" s="302">
        <f t="shared" si="50"/>
        <v>0</v>
      </c>
      <c r="Y215" s="322">
        <f t="shared" si="51"/>
        <v>0</v>
      </c>
    </row>
    <row r="216" spans="1:25" x14ac:dyDescent="0.25">
      <c r="A216" s="148">
        <f>Données!A216</f>
        <v>5752</v>
      </c>
      <c r="B216" s="156" t="str">
        <f>Données!B216</f>
        <v>Croy</v>
      </c>
      <c r="C216" s="321">
        <f>Données!C216</f>
        <v>403</v>
      </c>
      <c r="D216" s="336"/>
      <c r="E216" s="318">
        <f>Données!X216</f>
        <v>451</v>
      </c>
      <c r="F216" s="361">
        <f t="shared" si="39"/>
        <v>1.1191066997518611</v>
      </c>
      <c r="G216" s="336">
        <f t="shared" si="40"/>
        <v>314.77847648944697</v>
      </c>
      <c r="H216" s="344">
        <f t="shared" si="46"/>
        <v>136.22152351055303</v>
      </c>
      <c r="I216" s="362">
        <f t="shared" si="47"/>
        <v>-14484</v>
      </c>
      <c r="J216" s="357"/>
      <c r="K216" s="363">
        <f>Données!Y216</f>
        <v>0</v>
      </c>
      <c r="L216" s="324">
        <f>Données!Z216</f>
        <v>0.13500000000000001</v>
      </c>
      <c r="M216" s="336">
        <f t="shared" si="41"/>
        <v>78.950296735905056</v>
      </c>
      <c r="N216" s="362">
        <f t="shared" si="42"/>
        <v>0</v>
      </c>
      <c r="O216" s="357"/>
      <c r="P216" s="318">
        <f>Données!AA216</f>
        <v>41</v>
      </c>
      <c r="Q216" s="359">
        <f>Données!AB216</f>
        <v>35</v>
      </c>
      <c r="R216" s="302">
        <f t="shared" si="43"/>
        <v>46.25</v>
      </c>
      <c r="S216" s="364">
        <f t="shared" si="44"/>
        <v>0.11476426799007444</v>
      </c>
      <c r="T216" s="344">
        <f t="shared" si="45"/>
        <v>54.978503930474922</v>
      </c>
      <c r="U216" s="344">
        <f t="shared" si="48"/>
        <v>0</v>
      </c>
      <c r="V216" s="362">
        <f t="shared" si="49"/>
        <v>0</v>
      </c>
      <c r="W216" s="436"/>
      <c r="X216" s="302">
        <f t="shared" si="50"/>
        <v>0</v>
      </c>
      <c r="Y216" s="322">
        <f t="shared" si="51"/>
        <v>0</v>
      </c>
    </row>
    <row r="217" spans="1:25" x14ac:dyDescent="0.25">
      <c r="A217" s="148">
        <f>Données!A217</f>
        <v>5754</v>
      </c>
      <c r="B217" s="156" t="str">
        <f>Données!B217</f>
        <v>Juriens</v>
      </c>
      <c r="C217" s="321">
        <f>Données!C217</f>
        <v>348</v>
      </c>
      <c r="D217" s="336"/>
      <c r="E217" s="318">
        <f>Données!X217</f>
        <v>932</v>
      </c>
      <c r="F217" s="361">
        <f t="shared" si="39"/>
        <v>2.6781609195402298</v>
      </c>
      <c r="G217" s="336">
        <f t="shared" si="40"/>
        <v>271.81863478493187</v>
      </c>
      <c r="H217" s="344">
        <f t="shared" si="46"/>
        <v>660.18136521506813</v>
      </c>
      <c r="I217" s="362">
        <f t="shared" si="47"/>
        <v>-70197</v>
      </c>
      <c r="J217" s="357"/>
      <c r="K217" s="363">
        <f>Données!Y217</f>
        <v>348</v>
      </c>
      <c r="L217" s="324">
        <f>Données!Z217</f>
        <v>0.152</v>
      </c>
      <c r="M217" s="336">
        <f t="shared" si="41"/>
        <v>88.892185954500505</v>
      </c>
      <c r="N217" s="362">
        <f t="shared" si="42"/>
        <v>-30934</v>
      </c>
      <c r="O217" s="357"/>
      <c r="P217" s="318">
        <f>Données!AA217</f>
        <v>39</v>
      </c>
      <c r="Q217" s="359">
        <f>Données!AB217</f>
        <v>28</v>
      </c>
      <c r="R217" s="302">
        <f t="shared" si="43"/>
        <v>43.2</v>
      </c>
      <c r="S217" s="364">
        <f t="shared" si="44"/>
        <v>0.12413793103448277</v>
      </c>
      <c r="T217" s="344">
        <f t="shared" si="45"/>
        <v>47.475234163288519</v>
      </c>
      <c r="U217" s="344">
        <f t="shared" si="48"/>
        <v>0</v>
      </c>
      <c r="V217" s="362">
        <f t="shared" si="49"/>
        <v>0</v>
      </c>
      <c r="W217" s="436"/>
      <c r="X217" s="302">
        <f t="shared" si="50"/>
        <v>0</v>
      </c>
      <c r="Y217" s="322">
        <f t="shared" si="51"/>
        <v>0</v>
      </c>
    </row>
    <row r="218" spans="1:25" x14ac:dyDescent="0.25">
      <c r="A218" s="148">
        <f>Données!A218</f>
        <v>5755</v>
      </c>
      <c r="B218" s="156" t="str">
        <f>Données!B218</f>
        <v>Lignerolle</v>
      </c>
      <c r="C218" s="321">
        <f>Données!C218</f>
        <v>463</v>
      </c>
      <c r="D218" s="336"/>
      <c r="E218" s="318">
        <f>Données!X218</f>
        <v>1060</v>
      </c>
      <c r="F218" s="361">
        <f t="shared" si="39"/>
        <v>2.289416846652268</v>
      </c>
      <c r="G218" s="336">
        <f t="shared" si="40"/>
        <v>361.64375834891797</v>
      </c>
      <c r="H218" s="344">
        <f t="shared" si="46"/>
        <v>698.35624165108197</v>
      </c>
      <c r="I218" s="362">
        <f t="shared" si="47"/>
        <v>-74256</v>
      </c>
      <c r="J218" s="357"/>
      <c r="K218" s="363">
        <f>Données!Y218</f>
        <v>463</v>
      </c>
      <c r="L218" s="324">
        <f>Données!Z218</f>
        <v>0.25800000000000001</v>
      </c>
      <c r="M218" s="336">
        <f t="shared" si="41"/>
        <v>150.88278931750745</v>
      </c>
      <c r="N218" s="362">
        <f t="shared" si="42"/>
        <v>-69859</v>
      </c>
      <c r="O218" s="357"/>
      <c r="P218" s="318">
        <f>Données!AA218</f>
        <v>65</v>
      </c>
      <c r="Q218" s="359">
        <f>Données!AB218</f>
        <v>65</v>
      </c>
      <c r="R218" s="302">
        <f t="shared" si="43"/>
        <v>74.75</v>
      </c>
      <c r="S218" s="364">
        <f t="shared" si="44"/>
        <v>0.16144708423326135</v>
      </c>
      <c r="T218" s="344">
        <f t="shared" si="45"/>
        <v>63.163889131041913</v>
      </c>
      <c r="U218" s="344">
        <f t="shared" si="48"/>
        <v>11.586110868958087</v>
      </c>
      <c r="V218" s="362">
        <f t="shared" si="49"/>
        <v>-49278</v>
      </c>
      <c r="W218" s="436"/>
      <c r="X218" s="302">
        <f t="shared" si="50"/>
        <v>-41468.842729970325</v>
      </c>
      <c r="Y218" s="322">
        <f t="shared" si="51"/>
        <v>-7809.1572700296747</v>
      </c>
    </row>
    <row r="219" spans="1:25" x14ac:dyDescent="0.25">
      <c r="A219" s="148">
        <f>Données!A219</f>
        <v>5756</v>
      </c>
      <c r="B219" s="156" t="str">
        <f>Données!B219</f>
        <v>Montcherand</v>
      </c>
      <c r="C219" s="321">
        <f>Données!C219</f>
        <v>489</v>
      </c>
      <c r="D219" s="336"/>
      <c r="E219" s="318">
        <f>Données!X219</f>
        <v>299</v>
      </c>
      <c r="F219" s="361">
        <f t="shared" si="39"/>
        <v>0.61145194274028625</v>
      </c>
      <c r="G219" s="336">
        <f t="shared" si="40"/>
        <v>381.95204715468873</v>
      </c>
      <c r="H219" s="344">
        <f t="shared" si="46"/>
        <v>0</v>
      </c>
      <c r="I219" s="362">
        <f t="shared" si="47"/>
        <v>0</v>
      </c>
      <c r="J219" s="357"/>
      <c r="K219" s="363">
        <f>Données!Y219</f>
        <v>0</v>
      </c>
      <c r="L219" s="324">
        <f>Données!Z219</f>
        <v>0.128</v>
      </c>
      <c r="M219" s="336">
        <f t="shared" si="41"/>
        <v>74.856577645895158</v>
      </c>
      <c r="N219" s="362">
        <f t="shared" si="42"/>
        <v>0</v>
      </c>
      <c r="O219" s="357"/>
      <c r="P219" s="318">
        <f>Données!AA219</f>
        <v>59</v>
      </c>
      <c r="Q219" s="359">
        <f>Données!AB219</f>
        <v>4</v>
      </c>
      <c r="R219" s="302">
        <f t="shared" si="43"/>
        <v>59.6</v>
      </c>
      <c r="S219" s="364">
        <f t="shared" si="44"/>
        <v>0.12188139059304703</v>
      </c>
      <c r="T219" s="344">
        <f t="shared" si="45"/>
        <v>66.710889384620941</v>
      </c>
      <c r="U219" s="344">
        <f t="shared" si="48"/>
        <v>0</v>
      </c>
      <c r="V219" s="362">
        <f t="shared" si="49"/>
        <v>0</v>
      </c>
      <c r="W219" s="436"/>
      <c r="X219" s="302">
        <f t="shared" si="50"/>
        <v>0</v>
      </c>
      <c r="Y219" s="322">
        <f t="shared" si="51"/>
        <v>0</v>
      </c>
    </row>
    <row r="220" spans="1:25" x14ac:dyDescent="0.25">
      <c r="A220" s="148">
        <f>Données!A220</f>
        <v>5757</v>
      </c>
      <c r="B220" s="156" t="str">
        <f>Données!B220</f>
        <v>Orbe</v>
      </c>
      <c r="C220" s="321">
        <f>Données!C220</f>
        <v>7962</v>
      </c>
      <c r="D220" s="336"/>
      <c r="E220" s="318">
        <f>Données!X220</f>
        <v>1162</v>
      </c>
      <c r="F220" s="361">
        <f t="shared" si="39"/>
        <v>0.14594323034413464</v>
      </c>
      <c r="G220" s="336">
        <f t="shared" si="40"/>
        <v>6219.0229027518035</v>
      </c>
      <c r="H220" s="344">
        <f t="shared" si="46"/>
        <v>0</v>
      </c>
      <c r="I220" s="362">
        <f t="shared" si="47"/>
        <v>0</v>
      </c>
      <c r="J220" s="357"/>
      <c r="K220" s="363">
        <f>Données!Y220</f>
        <v>0</v>
      </c>
      <c r="L220" s="324">
        <f>Données!Z220</f>
        <v>4.4999999999999998E-2</v>
      </c>
      <c r="M220" s="336">
        <f t="shared" si="41"/>
        <v>26.316765578635017</v>
      </c>
      <c r="N220" s="362">
        <f t="shared" si="42"/>
        <v>0</v>
      </c>
      <c r="O220" s="357"/>
      <c r="P220" s="318">
        <f>Données!AA220</f>
        <v>980</v>
      </c>
      <c r="Q220" s="359">
        <f>Données!AB220</f>
        <v>115</v>
      </c>
      <c r="R220" s="302">
        <f t="shared" si="43"/>
        <v>997.25</v>
      </c>
      <c r="S220" s="364">
        <f t="shared" si="44"/>
        <v>0.12525119316754585</v>
      </c>
      <c r="T220" s="344">
        <f t="shared" si="45"/>
        <v>1086.2006161152392</v>
      </c>
      <c r="U220" s="344">
        <f t="shared" si="48"/>
        <v>0</v>
      </c>
      <c r="V220" s="362">
        <f t="shared" si="49"/>
        <v>0</v>
      </c>
      <c r="W220" s="436"/>
      <c r="X220" s="302">
        <f t="shared" si="50"/>
        <v>0</v>
      </c>
      <c r="Y220" s="322">
        <f t="shared" si="51"/>
        <v>0</v>
      </c>
    </row>
    <row r="221" spans="1:25" x14ac:dyDescent="0.25">
      <c r="A221" s="148">
        <f>Données!A221</f>
        <v>5758</v>
      </c>
      <c r="B221" s="156" t="str">
        <f>Données!B221</f>
        <v>La Praz</v>
      </c>
      <c r="C221" s="321">
        <f>Données!C221</f>
        <v>207</v>
      </c>
      <c r="D221" s="336"/>
      <c r="E221" s="318">
        <f>Données!X221</f>
        <v>511</v>
      </c>
      <c r="F221" s="361">
        <f t="shared" si="39"/>
        <v>2.468599033816425</v>
      </c>
      <c r="G221" s="336">
        <f t="shared" si="40"/>
        <v>161.68522241517499</v>
      </c>
      <c r="H221" s="344">
        <f t="shared" si="46"/>
        <v>349.31477758482504</v>
      </c>
      <c r="I221" s="362">
        <f t="shared" si="47"/>
        <v>-37143</v>
      </c>
      <c r="J221" s="357"/>
      <c r="K221" s="363">
        <f>Données!Y221</f>
        <v>207</v>
      </c>
      <c r="L221" s="324">
        <f>Données!Z221</f>
        <v>0.217</v>
      </c>
      <c r="M221" s="336">
        <f t="shared" si="41"/>
        <v>126.90529179030663</v>
      </c>
      <c r="N221" s="362">
        <f t="shared" si="42"/>
        <v>-26269</v>
      </c>
      <c r="O221" s="357"/>
      <c r="P221" s="318">
        <f>Données!AA221</f>
        <v>24</v>
      </c>
      <c r="Q221" s="359">
        <f>Données!AB221</f>
        <v>23</v>
      </c>
      <c r="R221" s="302">
        <f t="shared" si="43"/>
        <v>27.45</v>
      </c>
      <c r="S221" s="364">
        <f t="shared" si="44"/>
        <v>0.1326086956521739</v>
      </c>
      <c r="T221" s="344">
        <f t="shared" si="45"/>
        <v>28.239578941956104</v>
      </c>
      <c r="U221" s="344">
        <f t="shared" si="48"/>
        <v>0</v>
      </c>
      <c r="V221" s="362">
        <f t="shared" si="49"/>
        <v>0</v>
      </c>
      <c r="W221" s="436"/>
      <c r="X221" s="302">
        <f t="shared" si="50"/>
        <v>0</v>
      </c>
      <c r="Y221" s="322">
        <f t="shared" si="51"/>
        <v>0</v>
      </c>
    </row>
    <row r="222" spans="1:25" x14ac:dyDescent="0.25">
      <c r="A222" s="148">
        <f>Données!A222</f>
        <v>5759</v>
      </c>
      <c r="B222" s="156" t="str">
        <f>Données!B222</f>
        <v>Premier</v>
      </c>
      <c r="C222" s="321">
        <f>Données!C222</f>
        <v>228</v>
      </c>
      <c r="D222" s="336"/>
      <c r="E222" s="318">
        <f>Données!X222</f>
        <v>605</v>
      </c>
      <c r="F222" s="361">
        <f t="shared" si="39"/>
        <v>2.6535087719298245</v>
      </c>
      <c r="G222" s="336">
        <f t="shared" si="40"/>
        <v>178.08807106598985</v>
      </c>
      <c r="H222" s="344">
        <f t="shared" si="46"/>
        <v>426.91192893401012</v>
      </c>
      <c r="I222" s="362">
        <f t="shared" si="47"/>
        <v>-45394</v>
      </c>
      <c r="J222" s="357"/>
      <c r="K222" s="363">
        <f>Données!Y222</f>
        <v>228</v>
      </c>
      <c r="L222" s="324">
        <f>Données!Z222</f>
        <v>0.20899999999999999</v>
      </c>
      <c r="M222" s="336">
        <f t="shared" si="41"/>
        <v>122.22675568743819</v>
      </c>
      <c r="N222" s="362">
        <f t="shared" si="42"/>
        <v>-27868</v>
      </c>
      <c r="O222" s="357"/>
      <c r="P222" s="318">
        <f>Données!AA222</f>
        <v>32</v>
      </c>
      <c r="Q222" s="359">
        <f>Données!AB222</f>
        <v>32</v>
      </c>
      <c r="R222" s="302">
        <f t="shared" si="43"/>
        <v>36.799999999999997</v>
      </c>
      <c r="S222" s="364">
        <f t="shared" si="44"/>
        <v>0.1614035087719298</v>
      </c>
      <c r="T222" s="344">
        <f t="shared" si="45"/>
        <v>31.104463762154548</v>
      </c>
      <c r="U222" s="344">
        <f t="shared" si="48"/>
        <v>5.6955362378454488</v>
      </c>
      <c r="V222" s="362">
        <f t="shared" si="49"/>
        <v>-24224</v>
      </c>
      <c r="W222" s="436"/>
      <c r="X222" s="302">
        <f t="shared" si="50"/>
        <v>-20415.430267062311</v>
      </c>
      <c r="Y222" s="322">
        <f t="shared" si="51"/>
        <v>-3808.569732937689</v>
      </c>
    </row>
    <row r="223" spans="1:25" x14ac:dyDescent="0.25">
      <c r="A223" s="148">
        <f>Données!A223</f>
        <v>5760</v>
      </c>
      <c r="B223" s="156" t="str">
        <f>Données!B223</f>
        <v>Rances</v>
      </c>
      <c r="C223" s="321">
        <f>Données!C223</f>
        <v>508</v>
      </c>
      <c r="D223" s="336"/>
      <c r="E223" s="318">
        <f>Données!X223</f>
        <v>982</v>
      </c>
      <c r="F223" s="361">
        <f t="shared" si="39"/>
        <v>1.9330708661417322</v>
      </c>
      <c r="G223" s="336">
        <f t="shared" si="40"/>
        <v>396.79271974352122</v>
      </c>
      <c r="H223" s="344">
        <f t="shared" si="46"/>
        <v>585.20728025647873</v>
      </c>
      <c r="I223" s="362">
        <f t="shared" si="47"/>
        <v>-62225</v>
      </c>
      <c r="J223" s="357"/>
      <c r="K223" s="363">
        <f>Données!Y223</f>
        <v>0</v>
      </c>
      <c r="L223" s="324">
        <f>Données!Z223</f>
        <v>0.26900000000000002</v>
      </c>
      <c r="M223" s="336">
        <f t="shared" si="41"/>
        <v>157.31577645895155</v>
      </c>
      <c r="N223" s="362">
        <f t="shared" si="42"/>
        <v>0</v>
      </c>
      <c r="O223" s="357"/>
      <c r="P223" s="318">
        <f>Données!AA223</f>
        <v>53</v>
      </c>
      <c r="Q223" s="359">
        <f>Données!AB223</f>
        <v>37</v>
      </c>
      <c r="R223" s="302">
        <f t="shared" si="43"/>
        <v>58.55</v>
      </c>
      <c r="S223" s="364">
        <f t="shared" si="44"/>
        <v>0.11525590551181102</v>
      </c>
      <c r="T223" s="344">
        <f t="shared" si="45"/>
        <v>69.302928031467147</v>
      </c>
      <c r="U223" s="344">
        <f t="shared" si="48"/>
        <v>0</v>
      </c>
      <c r="V223" s="362">
        <f t="shared" si="49"/>
        <v>0</v>
      </c>
      <c r="W223" s="436"/>
      <c r="X223" s="302">
        <f t="shared" si="50"/>
        <v>0</v>
      </c>
      <c r="Y223" s="322">
        <f t="shared" si="51"/>
        <v>0</v>
      </c>
    </row>
    <row r="224" spans="1:25" x14ac:dyDescent="0.25">
      <c r="A224" s="148">
        <f>Données!A224</f>
        <v>5761</v>
      </c>
      <c r="B224" s="156" t="str">
        <f>Données!B224</f>
        <v>Romainmôtier-Envy</v>
      </c>
      <c r="C224" s="321">
        <f>Données!C224</f>
        <v>560</v>
      </c>
      <c r="D224" s="336"/>
      <c r="E224" s="318">
        <f>Données!X224</f>
        <v>696</v>
      </c>
      <c r="F224" s="361">
        <f t="shared" si="39"/>
        <v>1.2428571428571429</v>
      </c>
      <c r="G224" s="336">
        <f t="shared" si="40"/>
        <v>437.40929735506279</v>
      </c>
      <c r="H224" s="344">
        <f t="shared" si="46"/>
        <v>258.59070264493721</v>
      </c>
      <c r="I224" s="362">
        <f t="shared" si="47"/>
        <v>-27496</v>
      </c>
      <c r="J224" s="357"/>
      <c r="K224" s="363">
        <f>Données!Y224</f>
        <v>13</v>
      </c>
      <c r="L224" s="324">
        <f>Données!Z224</f>
        <v>0.19400000000000001</v>
      </c>
      <c r="M224" s="336">
        <f t="shared" si="41"/>
        <v>113.45450049455985</v>
      </c>
      <c r="N224" s="362">
        <f t="shared" si="42"/>
        <v>-1475</v>
      </c>
      <c r="O224" s="357"/>
      <c r="P224" s="318">
        <f>Données!AA224</f>
        <v>62</v>
      </c>
      <c r="Q224" s="359">
        <f>Données!AB224</f>
        <v>54</v>
      </c>
      <c r="R224" s="302">
        <f t="shared" si="43"/>
        <v>70.099999999999994</v>
      </c>
      <c r="S224" s="364">
        <f t="shared" si="44"/>
        <v>0.12517857142857142</v>
      </c>
      <c r="T224" s="344">
        <f t="shared" si="45"/>
        <v>76.396928538625204</v>
      </c>
      <c r="U224" s="344">
        <f t="shared" si="48"/>
        <v>0</v>
      </c>
      <c r="V224" s="362">
        <f t="shared" si="49"/>
        <v>0</v>
      </c>
      <c r="W224" s="436"/>
      <c r="X224" s="302">
        <f t="shared" si="50"/>
        <v>0</v>
      </c>
      <c r="Y224" s="322">
        <f t="shared" si="51"/>
        <v>0</v>
      </c>
    </row>
    <row r="225" spans="1:25" x14ac:dyDescent="0.25">
      <c r="A225" s="148">
        <f>Données!A225</f>
        <v>5762</v>
      </c>
      <c r="B225" s="156" t="str">
        <f>Données!B225</f>
        <v>Sergey</v>
      </c>
      <c r="C225" s="321">
        <f>Données!C225</f>
        <v>133</v>
      </c>
      <c r="D225" s="336"/>
      <c r="E225" s="318">
        <f>Données!X225</f>
        <v>147</v>
      </c>
      <c r="F225" s="361">
        <f t="shared" si="39"/>
        <v>1.1052631578947369</v>
      </c>
      <c r="G225" s="336">
        <f t="shared" si="40"/>
        <v>103.8847081218274</v>
      </c>
      <c r="H225" s="344">
        <f t="shared" si="46"/>
        <v>43.115291878172599</v>
      </c>
      <c r="I225" s="362">
        <f t="shared" si="47"/>
        <v>-4584</v>
      </c>
      <c r="J225" s="357"/>
      <c r="K225" s="363">
        <f>Données!Y225</f>
        <v>0</v>
      </c>
      <c r="L225" s="324">
        <f>Données!Z225</f>
        <v>0.06</v>
      </c>
      <c r="M225" s="336">
        <f t="shared" si="41"/>
        <v>35.089020771513354</v>
      </c>
      <c r="N225" s="362">
        <f t="shared" si="42"/>
        <v>0</v>
      </c>
      <c r="O225" s="357"/>
      <c r="P225" s="318">
        <f>Données!AA225</f>
        <v>18</v>
      </c>
      <c r="Q225" s="359">
        <f>Données!AB225</f>
        <v>11</v>
      </c>
      <c r="R225" s="302">
        <f t="shared" si="43"/>
        <v>19.649999999999999</v>
      </c>
      <c r="S225" s="364">
        <f t="shared" si="44"/>
        <v>0.14774436090225562</v>
      </c>
      <c r="T225" s="344">
        <f t="shared" si="45"/>
        <v>18.144270527923485</v>
      </c>
      <c r="U225" s="344">
        <f t="shared" si="48"/>
        <v>1.5057294720765135</v>
      </c>
      <c r="V225" s="362">
        <f t="shared" si="49"/>
        <v>-6404</v>
      </c>
      <c r="W225" s="436"/>
      <c r="X225" s="302">
        <f t="shared" si="50"/>
        <v>-6404</v>
      </c>
      <c r="Y225" s="322">
        <f t="shared" si="51"/>
        <v>0</v>
      </c>
    </row>
    <row r="226" spans="1:25" x14ac:dyDescent="0.25">
      <c r="A226" s="148">
        <f>Données!A226</f>
        <v>5763</v>
      </c>
      <c r="B226" s="156" t="str">
        <f>Données!B226</f>
        <v>Valeyres-sous-Rances</v>
      </c>
      <c r="C226" s="321">
        <f>Données!C226</f>
        <v>583</v>
      </c>
      <c r="D226" s="336"/>
      <c r="E226" s="318">
        <f>Données!X226</f>
        <v>630</v>
      </c>
      <c r="F226" s="361">
        <f t="shared" si="39"/>
        <v>1.0806174957118353</v>
      </c>
      <c r="G226" s="336">
        <f t="shared" si="40"/>
        <v>455.37432206785996</v>
      </c>
      <c r="H226" s="344">
        <f t="shared" si="46"/>
        <v>174.62567793214004</v>
      </c>
      <c r="I226" s="362">
        <f t="shared" si="47"/>
        <v>-18568</v>
      </c>
      <c r="J226" s="357"/>
      <c r="K226" s="363">
        <f>Données!Y226</f>
        <v>0</v>
      </c>
      <c r="L226" s="324">
        <f>Données!Z226</f>
        <v>3.4000000000000002E-2</v>
      </c>
      <c r="M226" s="336">
        <f t="shared" si="41"/>
        <v>19.883778437190902</v>
      </c>
      <c r="N226" s="362">
        <f t="shared" si="42"/>
        <v>0</v>
      </c>
      <c r="O226" s="357"/>
      <c r="P226" s="318">
        <f>Données!AA226</f>
        <v>88</v>
      </c>
      <c r="Q226" s="359">
        <f>Données!AB226</f>
        <v>67</v>
      </c>
      <c r="R226" s="302">
        <f t="shared" si="43"/>
        <v>98.05</v>
      </c>
      <c r="S226" s="364">
        <f t="shared" si="44"/>
        <v>0.16818181818181818</v>
      </c>
      <c r="T226" s="344">
        <f t="shared" si="45"/>
        <v>79.53465953217588</v>
      </c>
      <c r="U226" s="344">
        <f t="shared" si="48"/>
        <v>18.515340467824117</v>
      </c>
      <c r="V226" s="362">
        <f t="shared" si="49"/>
        <v>-78750</v>
      </c>
      <c r="W226" s="436"/>
      <c r="X226" s="302">
        <f t="shared" si="50"/>
        <v>-42744.807121661717</v>
      </c>
      <c r="Y226" s="322">
        <f t="shared" si="51"/>
        <v>-36005.192878338283</v>
      </c>
    </row>
    <row r="227" spans="1:25" x14ac:dyDescent="0.25">
      <c r="A227" s="148">
        <f>Données!A227</f>
        <v>5764</v>
      </c>
      <c r="B227" s="156" t="str">
        <f>Données!B227</f>
        <v>Vallorbe</v>
      </c>
      <c r="C227" s="321">
        <f>Données!C227</f>
        <v>4328</v>
      </c>
      <c r="D227" s="336"/>
      <c r="E227" s="318">
        <f>Données!X227</f>
        <v>2279</v>
      </c>
      <c r="F227" s="361">
        <f t="shared" si="39"/>
        <v>0.52657116451016639</v>
      </c>
      <c r="G227" s="336">
        <f t="shared" si="40"/>
        <v>3380.5489981298424</v>
      </c>
      <c r="H227" s="344">
        <f t="shared" si="46"/>
        <v>0</v>
      </c>
      <c r="I227" s="362">
        <f t="shared" si="47"/>
        <v>0</v>
      </c>
      <c r="J227" s="357"/>
      <c r="K227" s="363">
        <f>Données!Y227</f>
        <v>4328</v>
      </c>
      <c r="L227" s="324">
        <f>Données!Z227</f>
        <v>0.48199999999999998</v>
      </c>
      <c r="M227" s="336">
        <f t="shared" si="41"/>
        <v>281.88180019782396</v>
      </c>
      <c r="N227" s="362">
        <f t="shared" si="42"/>
        <v>-1219984</v>
      </c>
      <c r="O227" s="357"/>
      <c r="P227" s="318">
        <f>Données!AA227</f>
        <v>548</v>
      </c>
      <c r="Q227" s="359">
        <f>Données!AB227</f>
        <v>14</v>
      </c>
      <c r="R227" s="302">
        <f t="shared" si="43"/>
        <v>550.1</v>
      </c>
      <c r="S227" s="364">
        <f t="shared" si="44"/>
        <v>0.1271025878003697</v>
      </c>
      <c r="T227" s="344">
        <f t="shared" si="45"/>
        <v>590.43911913423199</v>
      </c>
      <c r="U227" s="344">
        <f t="shared" si="48"/>
        <v>0</v>
      </c>
      <c r="V227" s="362">
        <f t="shared" si="49"/>
        <v>0</v>
      </c>
      <c r="W227" s="436"/>
      <c r="X227" s="302">
        <f t="shared" si="50"/>
        <v>0</v>
      </c>
      <c r="Y227" s="322">
        <f t="shared" si="51"/>
        <v>0</v>
      </c>
    </row>
    <row r="228" spans="1:25" x14ac:dyDescent="0.25">
      <c r="A228" s="148">
        <f>Données!A228</f>
        <v>5765</v>
      </c>
      <c r="B228" s="156" t="str">
        <f>Données!B228</f>
        <v>Vaulion</v>
      </c>
      <c r="C228" s="321">
        <f>Données!C228</f>
        <v>489</v>
      </c>
      <c r="D228" s="336"/>
      <c r="E228" s="318">
        <f>Données!X228</f>
        <v>1315</v>
      </c>
      <c r="F228" s="361">
        <f t="shared" si="39"/>
        <v>2.6891615541922289</v>
      </c>
      <c r="G228" s="336">
        <f t="shared" si="40"/>
        <v>381.95204715468873</v>
      </c>
      <c r="H228" s="344">
        <f t="shared" si="46"/>
        <v>933.04795284531133</v>
      </c>
      <c r="I228" s="362">
        <f t="shared" si="47"/>
        <v>-99211</v>
      </c>
      <c r="J228" s="357"/>
      <c r="K228" s="363">
        <f>Données!Y228</f>
        <v>489</v>
      </c>
      <c r="L228" s="324">
        <f>Données!Z228</f>
        <v>0.26900000000000002</v>
      </c>
      <c r="M228" s="336">
        <f t="shared" si="41"/>
        <v>157.31577645895155</v>
      </c>
      <c r="N228" s="362">
        <f t="shared" si="42"/>
        <v>-76927</v>
      </c>
      <c r="O228" s="357"/>
      <c r="P228" s="318">
        <f>Données!AA228</f>
        <v>59</v>
      </c>
      <c r="Q228" s="359">
        <f>Données!AB228</f>
        <v>26</v>
      </c>
      <c r="R228" s="302">
        <f t="shared" si="43"/>
        <v>62.9</v>
      </c>
      <c r="S228" s="364">
        <f t="shared" si="44"/>
        <v>0.12862985685071573</v>
      </c>
      <c r="T228" s="344">
        <f t="shared" si="45"/>
        <v>66.710889384620941</v>
      </c>
      <c r="U228" s="344">
        <f t="shared" si="48"/>
        <v>0</v>
      </c>
      <c r="V228" s="362">
        <f t="shared" si="49"/>
        <v>0</v>
      </c>
      <c r="W228" s="436"/>
      <c r="X228" s="302">
        <f t="shared" si="50"/>
        <v>0</v>
      </c>
      <c r="Y228" s="322">
        <f t="shared" si="51"/>
        <v>0</v>
      </c>
    </row>
    <row r="229" spans="1:25" x14ac:dyDescent="0.25">
      <c r="A229" s="148">
        <f>Données!A229</f>
        <v>5766</v>
      </c>
      <c r="B229" s="156" t="str">
        <f>Données!B229</f>
        <v>Vuiteboeuf</v>
      </c>
      <c r="C229" s="321">
        <f>Données!C229</f>
        <v>607</v>
      </c>
      <c r="D229" s="336"/>
      <c r="E229" s="318">
        <f>Données!X229</f>
        <v>509</v>
      </c>
      <c r="F229" s="361">
        <f t="shared" si="39"/>
        <v>0.83855024711696868</v>
      </c>
      <c r="G229" s="336">
        <f t="shared" si="40"/>
        <v>474.12043481164841</v>
      </c>
      <c r="H229" s="344">
        <f t="shared" si="46"/>
        <v>34.879565188351592</v>
      </c>
      <c r="I229" s="362">
        <f t="shared" si="47"/>
        <v>-3709</v>
      </c>
      <c r="J229" s="357"/>
      <c r="K229" s="363">
        <f>Données!Y229</f>
        <v>0</v>
      </c>
      <c r="L229" s="324">
        <f>Données!Z229</f>
        <v>0.217</v>
      </c>
      <c r="M229" s="336">
        <f t="shared" si="41"/>
        <v>126.90529179030663</v>
      </c>
      <c r="N229" s="362">
        <f t="shared" si="42"/>
        <v>0</v>
      </c>
      <c r="O229" s="357"/>
      <c r="P229" s="318">
        <f>Données!AA229</f>
        <v>72</v>
      </c>
      <c r="Q229" s="359">
        <f>Données!AB229</f>
        <v>72</v>
      </c>
      <c r="R229" s="302">
        <f t="shared" si="43"/>
        <v>82.8</v>
      </c>
      <c r="S229" s="364">
        <f t="shared" si="44"/>
        <v>0.13640856672158155</v>
      </c>
      <c r="T229" s="344">
        <f t="shared" si="45"/>
        <v>82.808813612402673</v>
      </c>
      <c r="U229" s="344">
        <f t="shared" si="48"/>
        <v>0</v>
      </c>
      <c r="V229" s="362">
        <f t="shared" si="49"/>
        <v>0</v>
      </c>
      <c r="W229" s="436"/>
      <c r="X229" s="302">
        <f t="shared" si="50"/>
        <v>0</v>
      </c>
      <c r="Y229" s="322">
        <f t="shared" si="51"/>
        <v>0</v>
      </c>
    </row>
    <row r="230" spans="1:25" x14ac:dyDescent="0.25">
      <c r="A230" s="148">
        <f>Données!A230</f>
        <v>5785</v>
      </c>
      <c r="B230" s="156" t="str">
        <f>Données!B230</f>
        <v>Corcelles-le-Jorat</v>
      </c>
      <c r="C230" s="321">
        <f>Données!C230</f>
        <v>499</v>
      </c>
      <c r="D230" s="336"/>
      <c r="E230" s="318">
        <f>Données!X230</f>
        <v>793</v>
      </c>
      <c r="F230" s="361">
        <f t="shared" si="39"/>
        <v>1.5891783567134268</v>
      </c>
      <c r="G230" s="336">
        <f t="shared" si="40"/>
        <v>389.76292746460058</v>
      </c>
      <c r="H230" s="344">
        <f t="shared" si="46"/>
        <v>403.23707253539942</v>
      </c>
      <c r="I230" s="362">
        <f t="shared" si="47"/>
        <v>-42876</v>
      </c>
      <c r="J230" s="357"/>
      <c r="K230" s="363">
        <f>Données!Y230</f>
        <v>499</v>
      </c>
      <c r="L230" s="324">
        <f>Données!Z230</f>
        <v>6.6000000000000003E-2</v>
      </c>
      <c r="M230" s="336">
        <f t="shared" si="41"/>
        <v>38.597922848664695</v>
      </c>
      <c r="N230" s="362">
        <f t="shared" si="42"/>
        <v>-19260</v>
      </c>
      <c r="O230" s="357"/>
      <c r="P230" s="318">
        <f>Données!AA230</f>
        <v>58</v>
      </c>
      <c r="Q230" s="359">
        <f>Données!AB230</f>
        <v>58</v>
      </c>
      <c r="R230" s="302">
        <f t="shared" si="43"/>
        <v>66.7</v>
      </c>
      <c r="S230" s="364">
        <f t="shared" si="44"/>
        <v>0.13366733466933869</v>
      </c>
      <c r="T230" s="344">
        <f t="shared" si="45"/>
        <v>68.075120251382103</v>
      </c>
      <c r="U230" s="344">
        <f t="shared" si="48"/>
        <v>0</v>
      </c>
      <c r="V230" s="362">
        <f t="shared" si="49"/>
        <v>0</v>
      </c>
      <c r="W230" s="436"/>
      <c r="X230" s="302">
        <f t="shared" si="50"/>
        <v>0</v>
      </c>
      <c r="Y230" s="322">
        <f t="shared" si="51"/>
        <v>0</v>
      </c>
    </row>
    <row r="231" spans="1:25" x14ac:dyDescent="0.25">
      <c r="A231" s="148">
        <f>Données!A231</f>
        <v>5790</v>
      </c>
      <c r="B231" s="156" t="str">
        <f>Données!B231</f>
        <v>Maracon</v>
      </c>
      <c r="C231" s="321">
        <f>Données!C231</f>
        <v>569</v>
      </c>
      <c r="D231" s="336"/>
      <c r="E231" s="318">
        <f>Données!X231</f>
        <v>428</v>
      </c>
      <c r="F231" s="361">
        <f t="shared" si="39"/>
        <v>0.75219683655536029</v>
      </c>
      <c r="G231" s="336">
        <f t="shared" si="40"/>
        <v>444.43908963398343</v>
      </c>
      <c r="H231" s="344">
        <f t="shared" si="46"/>
        <v>0</v>
      </c>
      <c r="I231" s="362">
        <f t="shared" si="47"/>
        <v>0</v>
      </c>
      <c r="J231" s="357"/>
      <c r="K231" s="363">
        <f>Données!Y231</f>
        <v>569</v>
      </c>
      <c r="L231" s="324">
        <f>Données!Z231</f>
        <v>6.6000000000000003E-2</v>
      </c>
      <c r="M231" s="336">
        <f t="shared" si="41"/>
        <v>38.597922848664695</v>
      </c>
      <c r="N231" s="362">
        <f t="shared" si="42"/>
        <v>-21962</v>
      </c>
      <c r="O231" s="357"/>
      <c r="P231" s="318">
        <f>Données!AA231</f>
        <v>72</v>
      </c>
      <c r="Q231" s="359">
        <f>Données!AB231</f>
        <v>72</v>
      </c>
      <c r="R231" s="302">
        <f t="shared" si="43"/>
        <v>82.8</v>
      </c>
      <c r="S231" s="364">
        <f t="shared" si="44"/>
        <v>0.14551845342706501</v>
      </c>
      <c r="T231" s="344">
        <f t="shared" si="45"/>
        <v>77.624736318710248</v>
      </c>
      <c r="U231" s="344">
        <f t="shared" si="48"/>
        <v>5.1752636812897492</v>
      </c>
      <c r="V231" s="362">
        <f t="shared" si="49"/>
        <v>-22012</v>
      </c>
      <c r="W231" s="436"/>
      <c r="X231" s="302">
        <f t="shared" si="50"/>
        <v>-22012</v>
      </c>
      <c r="Y231" s="322">
        <f t="shared" si="51"/>
        <v>0</v>
      </c>
    </row>
    <row r="232" spans="1:25" x14ac:dyDescent="0.25">
      <c r="A232" s="148">
        <f>Données!A232</f>
        <v>5792</v>
      </c>
      <c r="B232" s="156" t="str">
        <f>Données!B232</f>
        <v>Montpreveyres</v>
      </c>
      <c r="C232" s="321">
        <f>Données!C232</f>
        <v>653</v>
      </c>
      <c r="D232" s="336"/>
      <c r="E232" s="318">
        <f>Données!X232</f>
        <v>415</v>
      </c>
      <c r="F232" s="361">
        <f t="shared" si="39"/>
        <v>0.63552833078101068</v>
      </c>
      <c r="G232" s="336">
        <f t="shared" si="40"/>
        <v>510.05048423724281</v>
      </c>
      <c r="H232" s="344">
        <f t="shared" si="46"/>
        <v>0</v>
      </c>
      <c r="I232" s="362">
        <f t="shared" si="47"/>
        <v>0</v>
      </c>
      <c r="J232" s="357"/>
      <c r="K232" s="363">
        <f>Données!Y232</f>
        <v>653</v>
      </c>
      <c r="L232" s="324">
        <f>Données!Z232</f>
        <v>9.5000000000000001E-2</v>
      </c>
      <c r="M232" s="336">
        <f t="shared" si="41"/>
        <v>55.55761622156281</v>
      </c>
      <c r="N232" s="362">
        <f t="shared" si="42"/>
        <v>-36279</v>
      </c>
      <c r="O232" s="357"/>
      <c r="P232" s="318">
        <f>Données!AA232</f>
        <v>64</v>
      </c>
      <c r="Q232" s="359">
        <f>Données!AB232</f>
        <v>64</v>
      </c>
      <c r="R232" s="302">
        <f t="shared" si="43"/>
        <v>73.599999999999994</v>
      </c>
      <c r="S232" s="364">
        <f t="shared" si="44"/>
        <v>0.11271056661562021</v>
      </c>
      <c r="T232" s="344">
        <f t="shared" si="45"/>
        <v>89.084275599504039</v>
      </c>
      <c r="U232" s="344">
        <f t="shared" si="48"/>
        <v>0</v>
      </c>
      <c r="V232" s="362">
        <f t="shared" si="49"/>
        <v>0</v>
      </c>
      <c r="W232" s="436"/>
      <c r="X232" s="302">
        <f t="shared" si="50"/>
        <v>0</v>
      </c>
      <c r="Y232" s="322">
        <f t="shared" si="51"/>
        <v>0</v>
      </c>
    </row>
    <row r="233" spans="1:25" x14ac:dyDescent="0.25">
      <c r="A233" s="148">
        <f>Données!A233</f>
        <v>5798</v>
      </c>
      <c r="B233" s="156" t="str">
        <f>Données!B233</f>
        <v>Ropraz</v>
      </c>
      <c r="C233" s="321">
        <f>Données!C233</f>
        <v>529</v>
      </c>
      <c r="D233" s="336"/>
      <c r="E233" s="318">
        <f>Données!X233</f>
        <v>474</v>
      </c>
      <c r="F233" s="361">
        <f t="shared" si="39"/>
        <v>0.89603024574669188</v>
      </c>
      <c r="G233" s="336">
        <f t="shared" si="40"/>
        <v>413.19556839433608</v>
      </c>
      <c r="H233" s="344">
        <f t="shared" si="46"/>
        <v>60.804431605663922</v>
      </c>
      <c r="I233" s="362">
        <f t="shared" si="47"/>
        <v>-6465</v>
      </c>
      <c r="J233" s="357"/>
      <c r="K233" s="363">
        <f>Données!Y233</f>
        <v>401</v>
      </c>
      <c r="L233" s="324">
        <f>Données!Z233</f>
        <v>0.123</v>
      </c>
      <c r="M233" s="336">
        <f t="shared" si="41"/>
        <v>71.932492581602375</v>
      </c>
      <c r="N233" s="362">
        <f t="shared" si="42"/>
        <v>-28845</v>
      </c>
      <c r="O233" s="357"/>
      <c r="P233" s="318">
        <f>Données!AA233</f>
        <v>71</v>
      </c>
      <c r="Q233" s="359">
        <f>Données!AB233</f>
        <v>55</v>
      </c>
      <c r="R233" s="302">
        <f t="shared" si="43"/>
        <v>79.25</v>
      </c>
      <c r="S233" s="364">
        <f t="shared" si="44"/>
        <v>0.14981096408317579</v>
      </c>
      <c r="T233" s="344">
        <f t="shared" si="45"/>
        <v>72.167812851665602</v>
      </c>
      <c r="U233" s="344">
        <f t="shared" si="48"/>
        <v>7.0821871483343983</v>
      </c>
      <c r="V233" s="362">
        <f t="shared" si="49"/>
        <v>-30122</v>
      </c>
      <c r="W233" s="436"/>
      <c r="X233" s="302">
        <f t="shared" si="50"/>
        <v>-30122</v>
      </c>
      <c r="Y233" s="322">
        <f t="shared" si="51"/>
        <v>0</v>
      </c>
    </row>
    <row r="234" spans="1:25" x14ac:dyDescent="0.25">
      <c r="A234" s="148">
        <f>Données!A234</f>
        <v>5799</v>
      </c>
      <c r="B234" s="156" t="str">
        <f>Données!B234</f>
        <v>Servion</v>
      </c>
      <c r="C234" s="321">
        <f>Données!C234</f>
        <v>2228</v>
      </c>
      <c r="D234" s="336"/>
      <c r="E234" s="318">
        <f>Données!X234</f>
        <v>628</v>
      </c>
      <c r="F234" s="361">
        <f t="shared" si="39"/>
        <v>0.28186714542190305</v>
      </c>
      <c r="G234" s="336">
        <f t="shared" si="40"/>
        <v>1740.2641330483568</v>
      </c>
      <c r="H234" s="344">
        <f t="shared" si="46"/>
        <v>0</v>
      </c>
      <c r="I234" s="362">
        <f t="shared" si="47"/>
        <v>0</v>
      </c>
      <c r="J234" s="357"/>
      <c r="K234" s="363">
        <f>Données!Y234</f>
        <v>2228</v>
      </c>
      <c r="L234" s="324">
        <f>Données!Z234</f>
        <v>6.7000000000000004E-2</v>
      </c>
      <c r="M234" s="336">
        <f t="shared" si="41"/>
        <v>39.182739861523253</v>
      </c>
      <c r="N234" s="362">
        <f t="shared" si="42"/>
        <v>-87299</v>
      </c>
      <c r="O234" s="357"/>
      <c r="P234" s="318">
        <f>Données!AA234</f>
        <v>309</v>
      </c>
      <c r="Q234" s="359">
        <f>Données!AB234</f>
        <v>196</v>
      </c>
      <c r="R234" s="302">
        <f t="shared" si="43"/>
        <v>338.4</v>
      </c>
      <c r="S234" s="364">
        <f t="shared" si="44"/>
        <v>0.1518850987432675</v>
      </c>
      <c r="T234" s="344">
        <f t="shared" si="45"/>
        <v>303.9506371143874</v>
      </c>
      <c r="U234" s="344">
        <f t="shared" si="48"/>
        <v>34.449362885612572</v>
      </c>
      <c r="V234" s="362">
        <f t="shared" si="49"/>
        <v>-146521</v>
      </c>
      <c r="W234" s="436"/>
      <c r="X234" s="302">
        <f t="shared" si="50"/>
        <v>-125044.51038575666</v>
      </c>
      <c r="Y234" s="322">
        <f t="shared" si="51"/>
        <v>-21476.489614243343</v>
      </c>
    </row>
    <row r="235" spans="1:25" x14ac:dyDescent="0.25">
      <c r="A235" s="148">
        <f>Données!A235</f>
        <v>5803</v>
      </c>
      <c r="B235" s="156" t="str">
        <f>Données!B235</f>
        <v>Vulliens</v>
      </c>
      <c r="C235" s="321">
        <f>Données!C235</f>
        <v>628</v>
      </c>
      <c r="D235" s="336"/>
      <c r="E235" s="318">
        <f>Données!X235</f>
        <v>653</v>
      </c>
      <c r="F235" s="361">
        <f t="shared" si="39"/>
        <v>1.0398089171974523</v>
      </c>
      <c r="G235" s="336">
        <f t="shared" si="40"/>
        <v>490.52328346246327</v>
      </c>
      <c r="H235" s="344">
        <f t="shared" si="46"/>
        <v>162.47671653753673</v>
      </c>
      <c r="I235" s="362">
        <f t="shared" si="47"/>
        <v>-17276</v>
      </c>
      <c r="J235" s="357"/>
      <c r="K235" s="363">
        <f>Données!Y235</f>
        <v>36</v>
      </c>
      <c r="L235" s="324">
        <f>Données!Z235</f>
        <v>0.111</v>
      </c>
      <c r="M235" s="336">
        <f t="shared" si="41"/>
        <v>64.914688427299708</v>
      </c>
      <c r="N235" s="362">
        <f t="shared" si="42"/>
        <v>-2337</v>
      </c>
      <c r="O235" s="357"/>
      <c r="P235" s="318">
        <f>Données!AA235</f>
        <v>90</v>
      </c>
      <c r="Q235" s="359">
        <f>Données!AB235</f>
        <v>89</v>
      </c>
      <c r="R235" s="302">
        <f t="shared" si="43"/>
        <v>103.35</v>
      </c>
      <c r="S235" s="364">
        <f t="shared" si="44"/>
        <v>0.16457006369426749</v>
      </c>
      <c r="T235" s="344">
        <f t="shared" si="45"/>
        <v>85.673698432601128</v>
      </c>
      <c r="U235" s="344">
        <f t="shared" si="48"/>
        <v>17.676301567398866</v>
      </c>
      <c r="V235" s="362">
        <f t="shared" si="49"/>
        <v>-75181</v>
      </c>
      <c r="W235" s="436"/>
      <c r="X235" s="302">
        <f t="shared" si="50"/>
        <v>-56780.415430267058</v>
      </c>
      <c r="Y235" s="322">
        <f t="shared" si="51"/>
        <v>-18400.584569732942</v>
      </c>
    </row>
    <row r="236" spans="1:25" x14ac:dyDescent="0.25">
      <c r="A236" s="148">
        <f>Données!A236</f>
        <v>5804</v>
      </c>
      <c r="B236" s="156" t="str">
        <f>Données!B236</f>
        <v>Jorat-Menthue</v>
      </c>
      <c r="C236" s="321">
        <f>Données!C236</f>
        <v>1576</v>
      </c>
      <c r="D236" s="336"/>
      <c r="E236" s="318">
        <f>Données!X236</f>
        <v>1768</v>
      </c>
      <c r="F236" s="361">
        <f t="shared" si="39"/>
        <v>1.1218274111675126</v>
      </c>
      <c r="G236" s="336">
        <f t="shared" si="40"/>
        <v>1230.9947368421051</v>
      </c>
      <c r="H236" s="344">
        <f t="shared" si="46"/>
        <v>537.00526315789489</v>
      </c>
      <c r="I236" s="362">
        <f t="shared" si="47"/>
        <v>-57100</v>
      </c>
      <c r="J236" s="357"/>
      <c r="K236" s="363">
        <f>Données!Y236</f>
        <v>1548</v>
      </c>
      <c r="L236" s="324">
        <f>Données!Z236</f>
        <v>9.5000000000000001E-2</v>
      </c>
      <c r="M236" s="336">
        <f t="shared" si="41"/>
        <v>55.55761622156281</v>
      </c>
      <c r="N236" s="362">
        <f t="shared" si="42"/>
        <v>-86003</v>
      </c>
      <c r="O236" s="357"/>
      <c r="P236" s="318">
        <f>Données!AA236</f>
        <v>198</v>
      </c>
      <c r="Q236" s="359">
        <f>Données!AB236</f>
        <v>195</v>
      </c>
      <c r="R236" s="302">
        <f t="shared" si="43"/>
        <v>227.25</v>
      </c>
      <c r="S236" s="364">
        <f t="shared" si="44"/>
        <v>0.14419416243654823</v>
      </c>
      <c r="T236" s="344">
        <f t="shared" si="45"/>
        <v>215.00278460155951</v>
      </c>
      <c r="U236" s="344">
        <f t="shared" si="48"/>
        <v>12.247215398440488</v>
      </c>
      <c r="V236" s="362">
        <f t="shared" si="49"/>
        <v>-52090</v>
      </c>
      <c r="W236" s="436"/>
      <c r="X236" s="302">
        <f t="shared" si="50"/>
        <v>-52090</v>
      </c>
      <c r="Y236" s="322">
        <f t="shared" si="51"/>
        <v>0</v>
      </c>
    </row>
    <row r="237" spans="1:25" x14ac:dyDescent="0.25">
      <c r="A237" s="148">
        <f>Données!A237</f>
        <v>5805</v>
      </c>
      <c r="B237" s="156" t="str">
        <f>Données!B237</f>
        <v>Oron</v>
      </c>
      <c r="C237" s="321">
        <f>Données!C237</f>
        <v>6345</v>
      </c>
      <c r="D237" s="336"/>
      <c r="E237" s="318">
        <f>Données!X237</f>
        <v>2616</v>
      </c>
      <c r="F237" s="361">
        <f t="shared" si="39"/>
        <v>0.41229314420803781</v>
      </c>
      <c r="G237" s="336">
        <f t="shared" si="40"/>
        <v>4956.0035566390598</v>
      </c>
      <c r="H237" s="344">
        <f t="shared" si="46"/>
        <v>0</v>
      </c>
      <c r="I237" s="362">
        <f t="shared" si="47"/>
        <v>0</v>
      </c>
      <c r="J237" s="357"/>
      <c r="K237" s="363">
        <f>Données!Y237</f>
        <v>1040</v>
      </c>
      <c r="L237" s="324">
        <f>Données!Z237</f>
        <v>5.5E-2</v>
      </c>
      <c r="M237" s="336">
        <f t="shared" si="41"/>
        <v>32.164935707220579</v>
      </c>
      <c r="N237" s="362">
        <f t="shared" si="42"/>
        <v>-33452</v>
      </c>
      <c r="O237" s="357"/>
      <c r="P237" s="318">
        <f>Données!AA237</f>
        <v>806</v>
      </c>
      <c r="Q237" s="359">
        <f>Données!AB237</f>
        <v>293</v>
      </c>
      <c r="R237" s="302">
        <f t="shared" si="43"/>
        <v>849.95</v>
      </c>
      <c r="S237" s="364">
        <f t="shared" si="44"/>
        <v>0.1339558707643814</v>
      </c>
      <c r="T237" s="344">
        <f t="shared" si="45"/>
        <v>865.60448495995877</v>
      </c>
      <c r="U237" s="344">
        <f t="shared" si="48"/>
        <v>0</v>
      </c>
      <c r="V237" s="362">
        <f t="shared" si="49"/>
        <v>0</v>
      </c>
      <c r="W237" s="436"/>
      <c r="X237" s="302">
        <f t="shared" si="50"/>
        <v>0</v>
      </c>
      <c r="Y237" s="322">
        <f t="shared" si="51"/>
        <v>0</v>
      </c>
    </row>
    <row r="238" spans="1:25" x14ac:dyDescent="0.25">
      <c r="A238" s="148">
        <f>Données!A238</f>
        <v>5806</v>
      </c>
      <c r="B238" s="156" t="str">
        <f>Données!B238</f>
        <v>Jorat-Mézières</v>
      </c>
      <c r="C238" s="321">
        <f>Données!C238</f>
        <v>3189</v>
      </c>
      <c r="D238" s="336"/>
      <c r="E238" s="318">
        <f>Données!X238</f>
        <v>1111</v>
      </c>
      <c r="F238" s="361">
        <f t="shared" si="39"/>
        <v>0.34838507369081217</v>
      </c>
      <c r="G238" s="336">
        <f t="shared" si="40"/>
        <v>2490.8897308308842</v>
      </c>
      <c r="H238" s="344">
        <f t="shared" si="46"/>
        <v>0</v>
      </c>
      <c r="I238" s="362">
        <f t="shared" si="47"/>
        <v>0</v>
      </c>
      <c r="J238" s="357"/>
      <c r="K238" s="363">
        <f>Données!Y238</f>
        <v>2008</v>
      </c>
      <c r="L238" s="324">
        <f>Données!Z238</f>
        <v>5.1999999999999998E-2</v>
      </c>
      <c r="M238" s="336">
        <f t="shared" si="41"/>
        <v>30.410484668644905</v>
      </c>
      <c r="N238" s="362">
        <f t="shared" si="42"/>
        <v>-61064</v>
      </c>
      <c r="O238" s="357"/>
      <c r="P238" s="318">
        <f>Données!AA238</f>
        <v>409</v>
      </c>
      <c r="Q238" s="359">
        <f>Données!AB238</f>
        <v>30</v>
      </c>
      <c r="R238" s="302">
        <f t="shared" si="43"/>
        <v>413.5</v>
      </c>
      <c r="S238" s="364">
        <f t="shared" si="44"/>
        <v>0.12966447162119787</v>
      </c>
      <c r="T238" s="344">
        <f t="shared" si="45"/>
        <v>435.05322341013533</v>
      </c>
      <c r="U238" s="344">
        <f t="shared" si="48"/>
        <v>0</v>
      </c>
      <c r="V238" s="362">
        <f t="shared" si="49"/>
        <v>0</v>
      </c>
      <c r="W238" s="436"/>
      <c r="X238" s="302">
        <f t="shared" si="50"/>
        <v>0</v>
      </c>
      <c r="Y238" s="322">
        <f t="shared" si="51"/>
        <v>0</v>
      </c>
    </row>
    <row r="239" spans="1:25" x14ac:dyDescent="0.25">
      <c r="A239" s="148">
        <f>Données!A239</f>
        <v>5812</v>
      </c>
      <c r="B239" s="156" t="str">
        <f>Données!B239</f>
        <v>Champtauroz</v>
      </c>
      <c r="C239" s="321">
        <f>Données!C239</f>
        <v>196</v>
      </c>
      <c r="D239" s="336"/>
      <c r="E239" s="318">
        <f>Données!X239</f>
        <v>302</v>
      </c>
      <c r="F239" s="361">
        <f t="shared" si="39"/>
        <v>1.5408163265306123</v>
      </c>
      <c r="G239" s="336">
        <f t="shared" si="40"/>
        <v>153.09325407427198</v>
      </c>
      <c r="H239" s="344">
        <f t="shared" si="46"/>
        <v>148.90674592572802</v>
      </c>
      <c r="I239" s="362">
        <f t="shared" si="47"/>
        <v>-15833</v>
      </c>
      <c r="J239" s="357"/>
      <c r="K239" s="363">
        <f>Données!Y239</f>
        <v>0</v>
      </c>
      <c r="L239" s="324">
        <f>Données!Z239</f>
        <v>2.1000000000000001E-2</v>
      </c>
      <c r="M239" s="336">
        <f t="shared" si="41"/>
        <v>12.281157270029675</v>
      </c>
      <c r="N239" s="362">
        <f t="shared" si="42"/>
        <v>0</v>
      </c>
      <c r="O239" s="357"/>
      <c r="P239" s="318">
        <f>Données!AA239</f>
        <v>31</v>
      </c>
      <c r="Q239" s="359">
        <f>Données!AB239</f>
        <v>31</v>
      </c>
      <c r="R239" s="302">
        <f t="shared" si="43"/>
        <v>35.65</v>
      </c>
      <c r="S239" s="364">
        <f t="shared" si="44"/>
        <v>0.1818877551020408</v>
      </c>
      <c r="T239" s="344">
        <f t="shared" si="45"/>
        <v>26.738924988518821</v>
      </c>
      <c r="U239" s="344">
        <f t="shared" si="48"/>
        <v>8.9110750114811772</v>
      </c>
      <c r="V239" s="362">
        <f t="shared" si="49"/>
        <v>-37901</v>
      </c>
      <c r="W239" s="436"/>
      <c r="X239" s="302">
        <f t="shared" si="50"/>
        <v>-19777.448071216615</v>
      </c>
      <c r="Y239" s="322">
        <f t="shared" si="51"/>
        <v>-18123.551928783385</v>
      </c>
    </row>
    <row r="240" spans="1:25" x14ac:dyDescent="0.25">
      <c r="A240" s="148">
        <f>Données!A240</f>
        <v>5813</v>
      </c>
      <c r="B240" s="156" t="str">
        <f>Données!B240</f>
        <v>Chevroux</v>
      </c>
      <c r="C240" s="321">
        <f>Données!C240</f>
        <v>495</v>
      </c>
      <c r="D240" s="336"/>
      <c r="E240" s="318">
        <f>Données!X240</f>
        <v>335</v>
      </c>
      <c r="F240" s="361">
        <f t="shared" si="39"/>
        <v>0.6767676767676768</v>
      </c>
      <c r="G240" s="336">
        <f t="shared" si="40"/>
        <v>386.63857534063584</v>
      </c>
      <c r="H240" s="344">
        <f t="shared" si="46"/>
        <v>0</v>
      </c>
      <c r="I240" s="362">
        <f t="shared" si="47"/>
        <v>0</v>
      </c>
      <c r="J240" s="357"/>
      <c r="K240" s="363">
        <f>Données!Y240</f>
        <v>0</v>
      </c>
      <c r="L240" s="324">
        <f>Données!Z240</f>
        <v>2.4E-2</v>
      </c>
      <c r="M240" s="336">
        <f t="shared" si="41"/>
        <v>14.035608308605342</v>
      </c>
      <c r="N240" s="362">
        <f t="shared" si="42"/>
        <v>0</v>
      </c>
      <c r="O240" s="357"/>
      <c r="P240" s="318">
        <f>Données!AA240</f>
        <v>57</v>
      </c>
      <c r="Q240" s="359">
        <f>Données!AB240</f>
        <v>57</v>
      </c>
      <c r="R240" s="302">
        <f t="shared" si="43"/>
        <v>65.55</v>
      </c>
      <c r="S240" s="364">
        <f t="shared" si="44"/>
        <v>0.13242424242424242</v>
      </c>
      <c r="T240" s="344">
        <f t="shared" si="45"/>
        <v>67.529427904677632</v>
      </c>
      <c r="U240" s="344">
        <f t="shared" si="48"/>
        <v>0</v>
      </c>
      <c r="V240" s="362">
        <f t="shared" si="49"/>
        <v>0</v>
      </c>
      <c r="W240" s="436"/>
      <c r="X240" s="302">
        <f t="shared" si="50"/>
        <v>0</v>
      </c>
      <c r="Y240" s="322">
        <f t="shared" si="51"/>
        <v>0</v>
      </c>
    </row>
    <row r="241" spans="1:25" x14ac:dyDescent="0.25">
      <c r="A241" s="148">
        <f>Données!A241</f>
        <v>5816</v>
      </c>
      <c r="B241" s="156" t="str">
        <f>Données!B241</f>
        <v>Corcelles-près-Payerne</v>
      </c>
      <c r="C241" s="321">
        <f>Données!C241</f>
        <v>3004</v>
      </c>
      <c r="D241" s="336"/>
      <c r="E241" s="318">
        <f>Données!X241</f>
        <v>1188</v>
      </c>
      <c r="F241" s="361">
        <f t="shared" si="39"/>
        <v>0.3954727030625832</v>
      </c>
      <c r="G241" s="336">
        <f t="shared" si="40"/>
        <v>2346.3884450975152</v>
      </c>
      <c r="H241" s="344">
        <f t="shared" si="46"/>
        <v>0</v>
      </c>
      <c r="I241" s="362">
        <f t="shared" si="47"/>
        <v>0</v>
      </c>
      <c r="J241" s="357"/>
      <c r="K241" s="363">
        <f>Données!Y241</f>
        <v>0</v>
      </c>
      <c r="L241" s="324">
        <f>Données!Z241</f>
        <v>2.3E-2</v>
      </c>
      <c r="M241" s="336">
        <f t="shared" si="41"/>
        <v>13.450791295746786</v>
      </c>
      <c r="N241" s="362">
        <f t="shared" si="42"/>
        <v>0</v>
      </c>
      <c r="O241" s="357"/>
      <c r="P241" s="318">
        <f>Données!AA241</f>
        <v>402</v>
      </c>
      <c r="Q241" s="359">
        <f>Données!AB241</f>
        <v>79</v>
      </c>
      <c r="R241" s="302">
        <f t="shared" si="43"/>
        <v>413.85</v>
      </c>
      <c r="S241" s="364">
        <f t="shared" si="44"/>
        <v>0.13776631158455394</v>
      </c>
      <c r="T241" s="344">
        <f t="shared" si="45"/>
        <v>409.81495237505379</v>
      </c>
      <c r="U241" s="344">
        <f t="shared" si="48"/>
        <v>4.0350476249462304</v>
      </c>
      <c r="V241" s="362">
        <f t="shared" si="49"/>
        <v>-17162</v>
      </c>
      <c r="W241" s="436"/>
      <c r="X241" s="302">
        <f t="shared" si="50"/>
        <v>-17162</v>
      </c>
      <c r="Y241" s="322">
        <f t="shared" si="51"/>
        <v>0</v>
      </c>
    </row>
    <row r="242" spans="1:25" x14ac:dyDescent="0.25">
      <c r="A242" s="148">
        <f>Données!A242</f>
        <v>5817</v>
      </c>
      <c r="B242" s="156" t="str">
        <f>Données!B242</f>
        <v>Grandcour</v>
      </c>
      <c r="C242" s="321">
        <f>Données!C242</f>
        <v>983</v>
      </c>
      <c r="D242" s="336"/>
      <c r="E242" s="318">
        <f>Données!X242</f>
        <v>1016</v>
      </c>
      <c r="F242" s="361">
        <f t="shared" si="39"/>
        <v>1.0335707019328586</v>
      </c>
      <c r="G242" s="336">
        <f t="shared" si="40"/>
        <v>767.80953446433341</v>
      </c>
      <c r="H242" s="344">
        <f t="shared" si="46"/>
        <v>248.19046553566659</v>
      </c>
      <c r="I242" s="362">
        <f t="shared" si="47"/>
        <v>-26390</v>
      </c>
      <c r="J242" s="357"/>
      <c r="K242" s="363">
        <f>Données!Y242</f>
        <v>0</v>
      </c>
      <c r="L242" s="324">
        <f>Données!Z242</f>
        <v>1.4E-2</v>
      </c>
      <c r="M242" s="336">
        <f t="shared" si="41"/>
        <v>8.1874381800197824</v>
      </c>
      <c r="N242" s="362">
        <f t="shared" si="42"/>
        <v>0</v>
      </c>
      <c r="O242" s="357"/>
      <c r="P242" s="318">
        <f>Données!AA242</f>
        <v>140</v>
      </c>
      <c r="Q242" s="359">
        <f>Données!AB242</f>
        <v>97</v>
      </c>
      <c r="R242" s="302">
        <f t="shared" si="43"/>
        <v>154.55000000000001</v>
      </c>
      <c r="S242" s="364">
        <f t="shared" si="44"/>
        <v>0.15722278738555442</v>
      </c>
      <c r="T242" s="344">
        <f t="shared" si="45"/>
        <v>134.10389420262246</v>
      </c>
      <c r="U242" s="344">
        <f t="shared" si="48"/>
        <v>20.446105797377555</v>
      </c>
      <c r="V242" s="362">
        <f t="shared" si="49"/>
        <v>-86962</v>
      </c>
      <c r="W242" s="436"/>
      <c r="X242" s="302">
        <f t="shared" si="50"/>
        <v>-61884.272997032633</v>
      </c>
      <c r="Y242" s="322">
        <f t="shared" si="51"/>
        <v>-25077.727002967367</v>
      </c>
    </row>
    <row r="243" spans="1:25" x14ac:dyDescent="0.25">
      <c r="A243" s="148">
        <f>Données!A243</f>
        <v>5819</v>
      </c>
      <c r="B243" s="156" t="str">
        <f>Données!B243</f>
        <v>Henniez</v>
      </c>
      <c r="C243" s="321">
        <f>Données!C243</f>
        <v>468</v>
      </c>
      <c r="D243" s="336"/>
      <c r="E243" s="318">
        <f>Données!X243</f>
        <v>252</v>
      </c>
      <c r="F243" s="361">
        <f t="shared" si="39"/>
        <v>0.53846153846153844</v>
      </c>
      <c r="G243" s="336">
        <f t="shared" si="40"/>
        <v>365.54919850387387</v>
      </c>
      <c r="H243" s="344">
        <f t="shared" si="46"/>
        <v>0</v>
      </c>
      <c r="I243" s="362">
        <f t="shared" si="47"/>
        <v>0</v>
      </c>
      <c r="J243" s="357"/>
      <c r="K243" s="363">
        <f>Données!Y243</f>
        <v>0</v>
      </c>
      <c r="L243" s="324">
        <f>Données!Z243</f>
        <v>0.107</v>
      </c>
      <c r="M243" s="336">
        <f t="shared" si="41"/>
        <v>62.575420375865484</v>
      </c>
      <c r="N243" s="362">
        <f t="shared" si="42"/>
        <v>0</v>
      </c>
      <c r="O243" s="357"/>
      <c r="P243" s="318">
        <f>Données!AA243</f>
        <v>70</v>
      </c>
      <c r="Q243" s="359">
        <f>Données!AB243</f>
        <v>70</v>
      </c>
      <c r="R243" s="302">
        <f t="shared" si="43"/>
        <v>80.5</v>
      </c>
      <c r="S243" s="364">
        <f t="shared" si="44"/>
        <v>0.17200854700854701</v>
      </c>
      <c r="T243" s="344">
        <f t="shared" si="45"/>
        <v>63.846004564422493</v>
      </c>
      <c r="U243" s="344">
        <f t="shared" si="48"/>
        <v>16.653995435577507</v>
      </c>
      <c r="V243" s="362">
        <f t="shared" si="49"/>
        <v>-70833</v>
      </c>
      <c r="W243" s="436"/>
      <c r="X243" s="302">
        <f t="shared" si="50"/>
        <v>-44658.753709198812</v>
      </c>
      <c r="Y243" s="322">
        <f t="shared" si="51"/>
        <v>-26174.246290801188</v>
      </c>
    </row>
    <row r="244" spans="1:25" x14ac:dyDescent="0.25">
      <c r="A244" s="148">
        <f>Données!A244</f>
        <v>5821</v>
      </c>
      <c r="B244" s="156" t="str">
        <f>Données!B244</f>
        <v>Missy</v>
      </c>
      <c r="C244" s="321">
        <f>Données!C244</f>
        <v>384</v>
      </c>
      <c r="D244" s="336"/>
      <c r="E244" s="318">
        <f>Données!X244</f>
        <v>301</v>
      </c>
      <c r="F244" s="361">
        <f t="shared" si="39"/>
        <v>0.78385416666666663</v>
      </c>
      <c r="G244" s="336">
        <f t="shared" si="40"/>
        <v>299.93780390061448</v>
      </c>
      <c r="H244" s="344">
        <f t="shared" si="46"/>
        <v>1.0621960993855168</v>
      </c>
      <c r="I244" s="362">
        <f t="shared" si="47"/>
        <v>-113</v>
      </c>
      <c r="J244" s="357"/>
      <c r="K244" s="363">
        <f>Données!Y244</f>
        <v>0</v>
      </c>
      <c r="L244" s="324">
        <f>Données!Z244</f>
        <v>0.02</v>
      </c>
      <c r="M244" s="336">
        <f t="shared" si="41"/>
        <v>11.696340257171119</v>
      </c>
      <c r="N244" s="362">
        <f t="shared" si="42"/>
        <v>0</v>
      </c>
      <c r="O244" s="357"/>
      <c r="P244" s="318">
        <f>Données!AA244</f>
        <v>61</v>
      </c>
      <c r="Q244" s="359">
        <f>Données!AB244</f>
        <v>61</v>
      </c>
      <c r="R244" s="302">
        <f t="shared" si="43"/>
        <v>70.150000000000006</v>
      </c>
      <c r="S244" s="364">
        <f t="shared" si="44"/>
        <v>0.18268229166666669</v>
      </c>
      <c r="T244" s="344">
        <f t="shared" si="45"/>
        <v>52.386465283628709</v>
      </c>
      <c r="U244" s="344">
        <f t="shared" si="48"/>
        <v>17.763534716371296</v>
      </c>
      <c r="V244" s="362">
        <f t="shared" si="49"/>
        <v>-75552</v>
      </c>
      <c r="W244" s="436"/>
      <c r="X244" s="302">
        <f t="shared" si="50"/>
        <v>-38916.913946587534</v>
      </c>
      <c r="Y244" s="322">
        <f t="shared" si="51"/>
        <v>-36635.086053412466</v>
      </c>
    </row>
    <row r="245" spans="1:25" x14ac:dyDescent="0.25">
      <c r="A245" s="148">
        <f>Données!A245</f>
        <v>5822</v>
      </c>
      <c r="B245" s="156" t="str">
        <f>Données!B245</f>
        <v>Payerne</v>
      </c>
      <c r="C245" s="321">
        <f>Données!C245</f>
        <v>10802</v>
      </c>
      <c r="D245" s="336"/>
      <c r="E245" s="318">
        <f>Données!X245</f>
        <v>2376</v>
      </c>
      <c r="F245" s="361">
        <f t="shared" si="39"/>
        <v>0.21995926680244399</v>
      </c>
      <c r="G245" s="336">
        <f t="shared" si="40"/>
        <v>8437.3129107667646</v>
      </c>
      <c r="H245" s="344">
        <f t="shared" si="46"/>
        <v>0</v>
      </c>
      <c r="I245" s="362">
        <f t="shared" si="47"/>
        <v>0</v>
      </c>
      <c r="J245" s="357"/>
      <c r="K245" s="363">
        <f>Données!Y245</f>
        <v>0</v>
      </c>
      <c r="L245" s="324">
        <f>Données!Z245</f>
        <v>3.1E-2</v>
      </c>
      <c r="M245" s="336">
        <f t="shared" si="41"/>
        <v>18.129327398615235</v>
      </c>
      <c r="N245" s="362">
        <f t="shared" si="42"/>
        <v>0</v>
      </c>
      <c r="O245" s="357"/>
      <c r="P245" s="318">
        <f>Données!AA245</f>
        <v>1436</v>
      </c>
      <c r="Q245" s="359">
        <f>Données!AB245</f>
        <v>39</v>
      </c>
      <c r="R245" s="302">
        <f t="shared" si="43"/>
        <v>1441.85</v>
      </c>
      <c r="S245" s="364">
        <f t="shared" si="44"/>
        <v>0.13347991112756896</v>
      </c>
      <c r="T245" s="344">
        <f t="shared" si="45"/>
        <v>1473.6421822754098</v>
      </c>
      <c r="U245" s="344">
        <f t="shared" si="48"/>
        <v>0</v>
      </c>
      <c r="V245" s="362">
        <f t="shared" si="49"/>
        <v>0</v>
      </c>
      <c r="W245" s="436"/>
      <c r="X245" s="302">
        <f t="shared" si="50"/>
        <v>0</v>
      </c>
      <c r="Y245" s="322">
        <f t="shared" si="51"/>
        <v>0</v>
      </c>
    </row>
    <row r="246" spans="1:25" x14ac:dyDescent="0.25">
      <c r="A246" s="148">
        <f>Données!A246</f>
        <v>5827</v>
      </c>
      <c r="B246" s="156" t="str">
        <f>Données!B246</f>
        <v>Trey</v>
      </c>
      <c r="C246" s="321">
        <f>Données!C246</f>
        <v>318</v>
      </c>
      <c r="D246" s="336"/>
      <c r="E246" s="318">
        <f>Données!X246</f>
        <v>372</v>
      </c>
      <c r="F246" s="361">
        <f t="shared" si="39"/>
        <v>1.1698113207547169</v>
      </c>
      <c r="G246" s="336">
        <f t="shared" si="40"/>
        <v>248.38599385519635</v>
      </c>
      <c r="H246" s="344">
        <f t="shared" si="46"/>
        <v>123.61400614480365</v>
      </c>
      <c r="I246" s="362">
        <f t="shared" si="47"/>
        <v>-13144</v>
      </c>
      <c r="J246" s="357"/>
      <c r="K246" s="363">
        <f>Données!Y246</f>
        <v>0</v>
      </c>
      <c r="L246" s="324">
        <f>Données!Z246</f>
        <v>7.1999999999999995E-2</v>
      </c>
      <c r="M246" s="336">
        <f t="shared" si="41"/>
        <v>42.106824925816021</v>
      </c>
      <c r="N246" s="362">
        <f t="shared" si="42"/>
        <v>0</v>
      </c>
      <c r="O246" s="357"/>
      <c r="P246" s="318">
        <f>Données!AA246</f>
        <v>39</v>
      </c>
      <c r="Q246" s="359">
        <f>Données!AB246</f>
        <v>39</v>
      </c>
      <c r="R246" s="302">
        <f t="shared" si="43"/>
        <v>44.85</v>
      </c>
      <c r="S246" s="364">
        <f t="shared" si="44"/>
        <v>0.1410377358490566</v>
      </c>
      <c r="T246" s="344">
        <f t="shared" si="45"/>
        <v>43.382541563005027</v>
      </c>
      <c r="U246" s="344">
        <f t="shared" si="48"/>
        <v>1.4674584369949741</v>
      </c>
      <c r="V246" s="362">
        <f t="shared" si="49"/>
        <v>-6241</v>
      </c>
      <c r="W246" s="436"/>
      <c r="X246" s="302">
        <f t="shared" si="50"/>
        <v>-6241</v>
      </c>
      <c r="Y246" s="322">
        <f t="shared" si="51"/>
        <v>0</v>
      </c>
    </row>
    <row r="247" spans="1:25" x14ac:dyDescent="0.25">
      <c r="A247" s="148">
        <f>Données!A247</f>
        <v>5828</v>
      </c>
      <c r="B247" s="156" t="str">
        <f>Données!B247</f>
        <v>Treytorrens (Payerne)</v>
      </c>
      <c r="C247" s="321">
        <f>Données!C247</f>
        <v>109</v>
      </c>
      <c r="D247" s="336"/>
      <c r="E247" s="318">
        <f>Données!X247</f>
        <v>310</v>
      </c>
      <c r="F247" s="361">
        <f t="shared" si="39"/>
        <v>2.8440366972477062</v>
      </c>
      <c r="G247" s="336">
        <f t="shared" si="40"/>
        <v>85.138595378039</v>
      </c>
      <c r="H247" s="344">
        <f t="shared" si="46"/>
        <v>224.86140462196101</v>
      </c>
      <c r="I247" s="362">
        <f t="shared" si="47"/>
        <v>-23910</v>
      </c>
      <c r="J247" s="357"/>
      <c r="K247" s="363">
        <f>Données!Y247</f>
        <v>0</v>
      </c>
      <c r="L247" s="324">
        <f>Données!Z247</f>
        <v>0.04</v>
      </c>
      <c r="M247" s="336">
        <f t="shared" si="41"/>
        <v>23.392680514342238</v>
      </c>
      <c r="N247" s="362">
        <f t="shared" si="42"/>
        <v>0</v>
      </c>
      <c r="O247" s="357"/>
      <c r="P247" s="318">
        <f>Données!AA247</f>
        <v>9</v>
      </c>
      <c r="Q247" s="359">
        <f>Données!AB247</f>
        <v>8</v>
      </c>
      <c r="R247" s="302">
        <f t="shared" si="43"/>
        <v>10.199999999999999</v>
      </c>
      <c r="S247" s="364">
        <f t="shared" si="44"/>
        <v>9.3577981651376138E-2</v>
      </c>
      <c r="T247" s="344">
        <f t="shared" si="45"/>
        <v>14.870116447696692</v>
      </c>
      <c r="U247" s="344">
        <f t="shared" si="48"/>
        <v>0</v>
      </c>
      <c r="V247" s="362">
        <f t="shared" si="49"/>
        <v>0</v>
      </c>
      <c r="W247" s="436"/>
      <c r="X247" s="302">
        <f t="shared" si="50"/>
        <v>0</v>
      </c>
      <c r="Y247" s="322">
        <f t="shared" si="51"/>
        <v>0</v>
      </c>
    </row>
    <row r="248" spans="1:25" x14ac:dyDescent="0.25">
      <c r="A248" s="148">
        <f>Données!A248</f>
        <v>5830</v>
      </c>
      <c r="B248" s="156" t="str">
        <f>Données!B248</f>
        <v>Villarzel</v>
      </c>
      <c r="C248" s="321">
        <f>Données!C248</f>
        <v>524</v>
      </c>
      <c r="D248" s="336"/>
      <c r="E248" s="318">
        <f>Données!X248</f>
        <v>769</v>
      </c>
      <c r="F248" s="361">
        <f t="shared" si="39"/>
        <v>1.467557251908397</v>
      </c>
      <c r="G248" s="336">
        <f t="shared" si="40"/>
        <v>409.29012823938018</v>
      </c>
      <c r="H248" s="344">
        <f t="shared" si="46"/>
        <v>359.70987176061982</v>
      </c>
      <c r="I248" s="362">
        <f t="shared" si="47"/>
        <v>-38248</v>
      </c>
      <c r="J248" s="357"/>
      <c r="K248" s="363">
        <f>Données!Y248</f>
        <v>28</v>
      </c>
      <c r="L248" s="324">
        <f>Données!Z248</f>
        <v>9.1999999999999998E-2</v>
      </c>
      <c r="M248" s="336">
        <f t="shared" si="41"/>
        <v>53.803165182987144</v>
      </c>
      <c r="N248" s="362">
        <f t="shared" si="42"/>
        <v>-1506</v>
      </c>
      <c r="O248" s="357"/>
      <c r="P248" s="318">
        <f>Données!AA248</f>
        <v>68</v>
      </c>
      <c r="Q248" s="359">
        <f>Données!AB248</f>
        <v>68</v>
      </c>
      <c r="R248" s="302">
        <f t="shared" si="43"/>
        <v>78.2</v>
      </c>
      <c r="S248" s="364">
        <f t="shared" si="44"/>
        <v>0.14923664122137406</v>
      </c>
      <c r="T248" s="344">
        <f t="shared" si="45"/>
        <v>71.485697418285014</v>
      </c>
      <c r="U248" s="344">
        <f t="shared" si="48"/>
        <v>6.7143025817149891</v>
      </c>
      <c r="V248" s="362">
        <f t="shared" si="49"/>
        <v>-28557</v>
      </c>
      <c r="W248" s="436"/>
      <c r="X248" s="302">
        <f t="shared" si="50"/>
        <v>-28557</v>
      </c>
      <c r="Y248" s="322">
        <f t="shared" si="51"/>
        <v>0</v>
      </c>
    </row>
    <row r="249" spans="1:25" x14ac:dyDescent="0.25">
      <c r="A249" s="148">
        <f>Données!A249</f>
        <v>5831</v>
      </c>
      <c r="B249" s="156" t="str">
        <f>Données!B249</f>
        <v>Valbroye</v>
      </c>
      <c r="C249" s="321">
        <f>Données!C249</f>
        <v>3435</v>
      </c>
      <c r="D249" s="336"/>
      <c r="E249" s="318">
        <f>Données!X249</f>
        <v>3335</v>
      </c>
      <c r="F249" s="361">
        <f t="shared" si="39"/>
        <v>0.97088791848617173</v>
      </c>
      <c r="G249" s="336">
        <f t="shared" si="40"/>
        <v>2683.0373864547155</v>
      </c>
      <c r="H249" s="344">
        <f t="shared" si="46"/>
        <v>651.96261354528451</v>
      </c>
      <c r="I249" s="362">
        <f t="shared" si="47"/>
        <v>-69323</v>
      </c>
      <c r="J249" s="357"/>
      <c r="K249" s="363">
        <f>Données!Y249</f>
        <v>117</v>
      </c>
      <c r="L249" s="324">
        <f>Données!Z249</f>
        <v>7.2999999999999995E-2</v>
      </c>
      <c r="M249" s="336">
        <f t="shared" si="41"/>
        <v>42.691641938674579</v>
      </c>
      <c r="N249" s="362">
        <f t="shared" si="42"/>
        <v>-4995</v>
      </c>
      <c r="O249" s="357"/>
      <c r="P249" s="318">
        <f>Données!AA249</f>
        <v>430</v>
      </c>
      <c r="Q249" s="359">
        <f>Données!AB249</f>
        <v>256</v>
      </c>
      <c r="R249" s="302">
        <f t="shared" si="43"/>
        <v>468.4</v>
      </c>
      <c r="S249" s="364">
        <f t="shared" si="44"/>
        <v>0.13636098981077147</v>
      </c>
      <c r="T249" s="344">
        <f t="shared" si="45"/>
        <v>468.61330273245994</v>
      </c>
      <c r="U249" s="344">
        <f t="shared" si="48"/>
        <v>0</v>
      </c>
      <c r="V249" s="362">
        <f t="shared" si="49"/>
        <v>0</v>
      </c>
      <c r="W249" s="436"/>
      <c r="X249" s="302">
        <f t="shared" si="50"/>
        <v>0</v>
      </c>
      <c r="Y249" s="322">
        <f t="shared" si="51"/>
        <v>0</v>
      </c>
    </row>
    <row r="250" spans="1:25" x14ac:dyDescent="0.25">
      <c r="A250" s="148">
        <f>Données!A250</f>
        <v>5841</v>
      </c>
      <c r="B250" s="156" t="str">
        <f>Données!B250</f>
        <v>Château-d'Oex</v>
      </c>
      <c r="C250" s="321">
        <f>Données!C250</f>
        <v>3656</v>
      </c>
      <c r="D250" s="336"/>
      <c r="E250" s="318">
        <f>Données!X250</f>
        <v>9537</v>
      </c>
      <c r="F250" s="361">
        <f t="shared" si="39"/>
        <v>2.6085886214442011</v>
      </c>
      <c r="G250" s="336">
        <f t="shared" si="40"/>
        <v>2855.6578413037669</v>
      </c>
      <c r="H250" s="344">
        <f t="shared" si="46"/>
        <v>6681.3421586962331</v>
      </c>
      <c r="I250" s="362">
        <f t="shared" si="47"/>
        <v>-710430</v>
      </c>
      <c r="J250" s="357"/>
      <c r="K250" s="363">
        <f>Données!Y250</f>
        <v>3656</v>
      </c>
      <c r="L250" s="324">
        <f>Données!Z250</f>
        <v>0.70499999999999996</v>
      </c>
      <c r="M250" s="336">
        <f t="shared" si="41"/>
        <v>412.29599406528189</v>
      </c>
      <c r="N250" s="362">
        <f t="shared" si="42"/>
        <v>-1507354</v>
      </c>
      <c r="O250" s="357"/>
      <c r="P250" s="318">
        <f>Données!AA250</f>
        <v>404</v>
      </c>
      <c r="Q250" s="359">
        <f>Données!AB250</f>
        <v>188</v>
      </c>
      <c r="R250" s="302">
        <f t="shared" si="43"/>
        <v>432.2</v>
      </c>
      <c r="S250" s="364">
        <f t="shared" si="44"/>
        <v>0.11821663019693654</v>
      </c>
      <c r="T250" s="344">
        <f t="shared" si="45"/>
        <v>498.76280488788171</v>
      </c>
      <c r="U250" s="344">
        <f t="shared" si="48"/>
        <v>0</v>
      </c>
      <c r="V250" s="362">
        <f t="shared" si="49"/>
        <v>0</v>
      </c>
      <c r="W250" s="436"/>
      <c r="X250" s="302">
        <f t="shared" si="50"/>
        <v>0</v>
      </c>
      <c r="Y250" s="322">
        <f t="shared" si="51"/>
        <v>0</v>
      </c>
    </row>
    <row r="251" spans="1:25" x14ac:dyDescent="0.25">
      <c r="A251" s="148">
        <f>Données!A251</f>
        <v>5842</v>
      </c>
      <c r="B251" s="156" t="str">
        <f>Données!B251</f>
        <v>Rossinière</v>
      </c>
      <c r="C251" s="321">
        <f>Données!C251</f>
        <v>499</v>
      </c>
      <c r="D251" s="336"/>
      <c r="E251" s="318">
        <f>Données!X251</f>
        <v>2126</v>
      </c>
      <c r="F251" s="361">
        <f t="shared" si="39"/>
        <v>4.2605210420841679</v>
      </c>
      <c r="G251" s="336">
        <f t="shared" si="40"/>
        <v>389.76292746460058</v>
      </c>
      <c r="H251" s="344">
        <f t="shared" si="46"/>
        <v>1736.2370725353994</v>
      </c>
      <c r="I251" s="362">
        <f t="shared" si="47"/>
        <v>-184615</v>
      </c>
      <c r="J251" s="357"/>
      <c r="K251" s="363">
        <f>Données!Y251</f>
        <v>499</v>
      </c>
      <c r="L251" s="324">
        <f>Données!Z251</f>
        <v>0.80800000000000005</v>
      </c>
      <c r="M251" s="336">
        <f t="shared" si="41"/>
        <v>472.5321463897132</v>
      </c>
      <c r="N251" s="362">
        <f t="shared" si="42"/>
        <v>-235794</v>
      </c>
      <c r="O251" s="357"/>
      <c r="P251" s="318">
        <f>Données!AA251</f>
        <v>70</v>
      </c>
      <c r="Q251" s="359">
        <f>Données!AB251</f>
        <v>54</v>
      </c>
      <c r="R251" s="302">
        <f t="shared" si="43"/>
        <v>78.099999999999994</v>
      </c>
      <c r="S251" s="364">
        <f t="shared" si="44"/>
        <v>0.15651302605210421</v>
      </c>
      <c r="T251" s="344">
        <f t="shared" si="45"/>
        <v>68.075120251382103</v>
      </c>
      <c r="U251" s="344">
        <f t="shared" si="48"/>
        <v>10.024879748617892</v>
      </c>
      <c r="V251" s="362">
        <f t="shared" si="49"/>
        <v>-42638</v>
      </c>
      <c r="W251" s="436"/>
      <c r="X251" s="302">
        <f t="shared" si="50"/>
        <v>-34451.038575667655</v>
      </c>
      <c r="Y251" s="322">
        <f t="shared" si="51"/>
        <v>-8186.9614243323449</v>
      </c>
    </row>
    <row r="252" spans="1:25" x14ac:dyDescent="0.25">
      <c r="A252" s="148">
        <f>Données!A252</f>
        <v>5843</v>
      </c>
      <c r="B252" s="156" t="str">
        <f>Données!B252</f>
        <v>Rougemont</v>
      </c>
      <c r="C252" s="321">
        <f>Données!C252</f>
        <v>812</v>
      </c>
      <c r="D252" s="336"/>
      <c r="E252" s="318">
        <f>Données!X252</f>
        <v>4104</v>
      </c>
      <c r="F252" s="361">
        <f t="shared" si="39"/>
        <v>5.0541871921182269</v>
      </c>
      <c r="G252" s="336">
        <f t="shared" si="40"/>
        <v>634.243481164841</v>
      </c>
      <c r="H252" s="344">
        <f t="shared" si="46"/>
        <v>3469.7565188351591</v>
      </c>
      <c r="I252" s="362">
        <f t="shared" si="47"/>
        <v>-368940</v>
      </c>
      <c r="J252" s="357"/>
      <c r="K252" s="363">
        <f>Données!Y252</f>
        <v>812</v>
      </c>
      <c r="L252" s="324">
        <f>Données!Z252</f>
        <v>0.73799999999999999</v>
      </c>
      <c r="M252" s="336">
        <f t="shared" si="41"/>
        <v>431.59495548961428</v>
      </c>
      <c r="N252" s="362">
        <f t="shared" si="42"/>
        <v>-350455</v>
      </c>
      <c r="O252" s="357"/>
      <c r="P252" s="318">
        <f>Données!AA252</f>
        <v>62</v>
      </c>
      <c r="Q252" s="359">
        <f>Données!AB252</f>
        <v>33</v>
      </c>
      <c r="R252" s="302">
        <f t="shared" si="43"/>
        <v>66.95</v>
      </c>
      <c r="S252" s="364">
        <f t="shared" si="44"/>
        <v>8.2450738916256164E-2</v>
      </c>
      <c r="T252" s="344">
        <f t="shared" si="45"/>
        <v>110.77554638100655</v>
      </c>
      <c r="U252" s="344">
        <f t="shared" si="48"/>
        <v>0</v>
      </c>
      <c r="V252" s="362">
        <f t="shared" si="49"/>
        <v>0</v>
      </c>
      <c r="W252" s="436"/>
      <c r="X252" s="302">
        <f t="shared" si="50"/>
        <v>0</v>
      </c>
      <c r="Y252" s="322">
        <f t="shared" si="51"/>
        <v>0</v>
      </c>
    </row>
    <row r="253" spans="1:25" x14ac:dyDescent="0.25">
      <c r="A253" s="148">
        <f>Données!A253</f>
        <v>5851</v>
      </c>
      <c r="B253" s="156" t="str">
        <f>Données!B253</f>
        <v>Allaman</v>
      </c>
      <c r="C253" s="321">
        <f>Données!C253</f>
        <v>430</v>
      </c>
      <c r="D253" s="336"/>
      <c r="E253" s="318">
        <f>Données!X253</f>
        <v>256</v>
      </c>
      <c r="F253" s="361">
        <f t="shared" si="39"/>
        <v>0.59534883720930232</v>
      </c>
      <c r="G253" s="336">
        <f t="shared" si="40"/>
        <v>335.86785332620889</v>
      </c>
      <c r="H253" s="344">
        <f t="shared" si="46"/>
        <v>0</v>
      </c>
      <c r="I253" s="362">
        <f t="shared" si="47"/>
        <v>0</v>
      </c>
      <c r="J253" s="357"/>
      <c r="K253" s="363">
        <f>Données!Y253</f>
        <v>0</v>
      </c>
      <c r="L253" s="324">
        <f>Données!Z253</f>
        <v>3.3000000000000002E-2</v>
      </c>
      <c r="M253" s="336">
        <f t="shared" si="41"/>
        <v>19.298961424332347</v>
      </c>
      <c r="N253" s="362">
        <f t="shared" si="42"/>
        <v>0</v>
      </c>
      <c r="O253" s="357"/>
      <c r="P253" s="318">
        <f>Données!AA253</f>
        <v>33</v>
      </c>
      <c r="Q253" s="359">
        <f>Données!AB253</f>
        <v>26</v>
      </c>
      <c r="R253" s="302">
        <f t="shared" si="43"/>
        <v>36.9</v>
      </c>
      <c r="S253" s="364">
        <f t="shared" si="44"/>
        <v>8.5813953488372091E-2</v>
      </c>
      <c r="T253" s="344">
        <f t="shared" si="45"/>
        <v>58.661927270730068</v>
      </c>
      <c r="U253" s="344">
        <f t="shared" si="48"/>
        <v>0</v>
      </c>
      <c r="V253" s="362">
        <f t="shared" si="49"/>
        <v>0</v>
      </c>
      <c r="W253" s="436"/>
      <c r="X253" s="302">
        <f t="shared" si="50"/>
        <v>0</v>
      </c>
      <c r="Y253" s="322">
        <f t="shared" si="51"/>
        <v>0</v>
      </c>
    </row>
    <row r="254" spans="1:25" x14ac:dyDescent="0.25">
      <c r="A254" s="148">
        <f>Données!A254</f>
        <v>5852</v>
      </c>
      <c r="B254" s="156" t="str">
        <f>Données!B254</f>
        <v>Bursinel</v>
      </c>
      <c r="C254" s="321">
        <f>Données!C254</f>
        <v>530</v>
      </c>
      <c r="D254" s="336"/>
      <c r="E254" s="318">
        <f>Données!X254</f>
        <v>180</v>
      </c>
      <c r="F254" s="361">
        <f t="shared" si="39"/>
        <v>0.33962264150943394</v>
      </c>
      <c r="G254" s="336">
        <f t="shared" si="40"/>
        <v>413.97665642532723</v>
      </c>
      <c r="H254" s="344">
        <f t="shared" si="46"/>
        <v>0</v>
      </c>
      <c r="I254" s="362">
        <f t="shared" si="47"/>
        <v>0</v>
      </c>
      <c r="J254" s="357"/>
      <c r="K254" s="363">
        <f>Données!Y254</f>
        <v>0</v>
      </c>
      <c r="L254" s="324">
        <f>Données!Z254</f>
        <v>1.2999999999999999E-2</v>
      </c>
      <c r="M254" s="336">
        <f t="shared" si="41"/>
        <v>7.6026211671612263</v>
      </c>
      <c r="N254" s="362">
        <f t="shared" si="42"/>
        <v>0</v>
      </c>
      <c r="O254" s="357"/>
      <c r="P254" s="318">
        <f>Données!AA254</f>
        <v>63</v>
      </c>
      <c r="Q254" s="359">
        <f>Données!AB254</f>
        <v>42</v>
      </c>
      <c r="R254" s="302">
        <f t="shared" si="43"/>
        <v>69.3</v>
      </c>
      <c r="S254" s="364">
        <f t="shared" si="44"/>
        <v>0.13075471698113206</v>
      </c>
      <c r="T254" s="344">
        <f t="shared" si="45"/>
        <v>72.304235938341719</v>
      </c>
      <c r="U254" s="344">
        <f t="shared" si="48"/>
        <v>0</v>
      </c>
      <c r="V254" s="362">
        <f t="shared" si="49"/>
        <v>0</v>
      </c>
      <c r="W254" s="436"/>
      <c r="X254" s="302">
        <f t="shared" si="50"/>
        <v>0</v>
      </c>
      <c r="Y254" s="322">
        <f t="shared" si="51"/>
        <v>0</v>
      </c>
    </row>
    <row r="255" spans="1:25" x14ac:dyDescent="0.25">
      <c r="A255" s="148">
        <f>Données!A255</f>
        <v>5853</v>
      </c>
      <c r="B255" s="156" t="str">
        <f>Données!B255</f>
        <v>Bursins</v>
      </c>
      <c r="C255" s="321">
        <f>Données!C255</f>
        <v>825</v>
      </c>
      <c r="D255" s="336"/>
      <c r="E255" s="318">
        <f>Données!X255</f>
        <v>340</v>
      </c>
      <c r="F255" s="361">
        <f t="shared" si="39"/>
        <v>0.41212121212121211</v>
      </c>
      <c r="G255" s="336">
        <f t="shared" si="40"/>
        <v>644.39762556772644</v>
      </c>
      <c r="H255" s="344">
        <f t="shared" si="46"/>
        <v>0</v>
      </c>
      <c r="I255" s="362">
        <f t="shared" si="47"/>
        <v>0</v>
      </c>
      <c r="J255" s="357"/>
      <c r="K255" s="363">
        <f>Données!Y255</f>
        <v>0</v>
      </c>
      <c r="L255" s="324">
        <f>Données!Z255</f>
        <v>0.224</v>
      </c>
      <c r="M255" s="336">
        <f t="shared" si="41"/>
        <v>130.99901088031652</v>
      </c>
      <c r="N255" s="362">
        <f t="shared" si="42"/>
        <v>0</v>
      </c>
      <c r="O255" s="357"/>
      <c r="P255" s="318">
        <f>Données!AA255</f>
        <v>99</v>
      </c>
      <c r="Q255" s="359">
        <f>Données!AB255</f>
        <v>66</v>
      </c>
      <c r="R255" s="302">
        <f t="shared" si="43"/>
        <v>108.9</v>
      </c>
      <c r="S255" s="364">
        <f t="shared" si="44"/>
        <v>0.13200000000000001</v>
      </c>
      <c r="T255" s="344">
        <f t="shared" si="45"/>
        <v>112.54904650779606</v>
      </c>
      <c r="U255" s="344">
        <f t="shared" si="48"/>
        <v>0</v>
      </c>
      <c r="V255" s="362">
        <f t="shared" si="49"/>
        <v>0</v>
      </c>
      <c r="W255" s="436"/>
      <c r="X255" s="302">
        <f t="shared" si="50"/>
        <v>0</v>
      </c>
      <c r="Y255" s="322">
        <f t="shared" si="51"/>
        <v>0</v>
      </c>
    </row>
    <row r="256" spans="1:25" x14ac:dyDescent="0.25">
      <c r="A256" s="148">
        <f>Données!A256</f>
        <v>5854</v>
      </c>
      <c r="B256" s="156" t="str">
        <f>Données!B256</f>
        <v>Burtigny</v>
      </c>
      <c r="C256" s="321">
        <f>Données!C256</f>
        <v>401</v>
      </c>
      <c r="D256" s="336"/>
      <c r="E256" s="318">
        <f>Données!X256</f>
        <v>561</v>
      </c>
      <c r="F256" s="361">
        <f t="shared" si="39"/>
        <v>1.3990024937655861</v>
      </c>
      <c r="G256" s="336">
        <f t="shared" si="40"/>
        <v>313.2163004274646</v>
      </c>
      <c r="H256" s="344">
        <f t="shared" si="46"/>
        <v>247.7836995725354</v>
      </c>
      <c r="I256" s="362">
        <f t="shared" si="47"/>
        <v>-26347</v>
      </c>
      <c r="J256" s="357"/>
      <c r="K256" s="363">
        <f>Données!Y256</f>
        <v>284</v>
      </c>
      <c r="L256" s="324">
        <f>Données!Z256</f>
        <v>6.3E-2</v>
      </c>
      <c r="M256" s="336">
        <f t="shared" si="41"/>
        <v>36.843471810089021</v>
      </c>
      <c r="N256" s="362">
        <f t="shared" si="42"/>
        <v>-10464</v>
      </c>
      <c r="O256" s="357"/>
      <c r="P256" s="318">
        <f>Données!AA256</f>
        <v>48</v>
      </c>
      <c r="Q256" s="359">
        <f>Données!AB256</f>
        <v>48</v>
      </c>
      <c r="R256" s="302">
        <f t="shared" si="43"/>
        <v>55.2</v>
      </c>
      <c r="S256" s="364">
        <f t="shared" si="44"/>
        <v>0.13765586034912719</v>
      </c>
      <c r="T256" s="344">
        <f t="shared" si="45"/>
        <v>54.705657757122694</v>
      </c>
      <c r="U256" s="344">
        <f t="shared" si="48"/>
        <v>0.49434224287730899</v>
      </c>
      <c r="V256" s="362">
        <f t="shared" si="49"/>
        <v>-2103</v>
      </c>
      <c r="W256" s="436"/>
      <c r="X256" s="302">
        <f t="shared" si="50"/>
        <v>-2103</v>
      </c>
      <c r="Y256" s="322">
        <f t="shared" si="51"/>
        <v>0</v>
      </c>
    </row>
    <row r="257" spans="1:25" x14ac:dyDescent="0.25">
      <c r="A257" s="148">
        <f>Données!A257</f>
        <v>5855</v>
      </c>
      <c r="B257" s="156" t="str">
        <f>Données!B257</f>
        <v>Dully</v>
      </c>
      <c r="C257" s="321">
        <f>Données!C257</f>
        <v>623</v>
      </c>
      <c r="D257" s="336"/>
      <c r="E257" s="318">
        <f>Données!X257</f>
        <v>163</v>
      </c>
      <c r="F257" s="361">
        <f t="shared" si="39"/>
        <v>0.26163723916532905</v>
      </c>
      <c r="G257" s="336">
        <f t="shared" si="40"/>
        <v>486.61784330750731</v>
      </c>
      <c r="H257" s="344">
        <f t="shared" si="46"/>
        <v>0</v>
      </c>
      <c r="I257" s="362">
        <f t="shared" si="47"/>
        <v>0</v>
      </c>
      <c r="J257" s="357"/>
      <c r="K257" s="363">
        <f>Données!Y257</f>
        <v>0</v>
      </c>
      <c r="L257" s="324">
        <f>Données!Z257</f>
        <v>6.3E-2</v>
      </c>
      <c r="M257" s="336">
        <f t="shared" si="41"/>
        <v>36.843471810089021</v>
      </c>
      <c r="N257" s="362">
        <f t="shared" si="42"/>
        <v>0</v>
      </c>
      <c r="O257" s="357"/>
      <c r="P257" s="318">
        <f>Données!AA257</f>
        <v>56</v>
      </c>
      <c r="Q257" s="359">
        <f>Données!AB257</f>
        <v>40</v>
      </c>
      <c r="R257" s="302">
        <f t="shared" si="43"/>
        <v>62</v>
      </c>
      <c r="S257" s="364">
        <f t="shared" si="44"/>
        <v>9.9518459069020862E-2</v>
      </c>
      <c r="T257" s="344">
        <f t="shared" si="45"/>
        <v>84.99158299922054</v>
      </c>
      <c r="U257" s="344">
        <f t="shared" si="48"/>
        <v>0</v>
      </c>
      <c r="V257" s="362">
        <f t="shared" si="49"/>
        <v>0</v>
      </c>
      <c r="W257" s="436"/>
      <c r="X257" s="302">
        <f t="shared" si="50"/>
        <v>0</v>
      </c>
      <c r="Y257" s="322">
        <f t="shared" si="51"/>
        <v>0</v>
      </c>
    </row>
    <row r="258" spans="1:25" x14ac:dyDescent="0.25">
      <c r="A258" s="148">
        <f>Données!A258</f>
        <v>5856</v>
      </c>
      <c r="B258" s="156" t="str">
        <f>Données!B258</f>
        <v>Essertines-sur-Rolle</v>
      </c>
      <c r="C258" s="321">
        <f>Données!C258</f>
        <v>789</v>
      </c>
      <c r="D258" s="336"/>
      <c r="E258" s="318">
        <f>Données!X258</f>
        <v>700</v>
      </c>
      <c r="F258" s="361">
        <f t="shared" si="39"/>
        <v>0.88719898605830161</v>
      </c>
      <c r="G258" s="336">
        <f t="shared" si="40"/>
        <v>616.27845645204377</v>
      </c>
      <c r="H258" s="344">
        <f t="shared" si="46"/>
        <v>83.72154354795623</v>
      </c>
      <c r="I258" s="362">
        <f t="shared" si="47"/>
        <v>-8902</v>
      </c>
      <c r="J258" s="357"/>
      <c r="K258" s="363">
        <f>Données!Y258</f>
        <v>147</v>
      </c>
      <c r="L258" s="324">
        <f>Données!Z258</f>
        <v>7.0999999999999994E-2</v>
      </c>
      <c r="M258" s="336">
        <f t="shared" si="41"/>
        <v>41.52200791295747</v>
      </c>
      <c r="N258" s="362">
        <f t="shared" si="42"/>
        <v>-6104</v>
      </c>
      <c r="O258" s="357"/>
      <c r="P258" s="318">
        <f>Données!AA258</f>
        <v>102</v>
      </c>
      <c r="Q258" s="359">
        <f>Données!AB258</f>
        <v>63</v>
      </c>
      <c r="R258" s="302">
        <f t="shared" si="43"/>
        <v>111.45</v>
      </c>
      <c r="S258" s="364">
        <f t="shared" si="44"/>
        <v>0.14125475285171102</v>
      </c>
      <c r="T258" s="344">
        <f t="shared" si="45"/>
        <v>107.63781538745587</v>
      </c>
      <c r="U258" s="344">
        <f t="shared" si="48"/>
        <v>3.8121846125441294</v>
      </c>
      <c r="V258" s="362">
        <f t="shared" si="49"/>
        <v>-16214</v>
      </c>
      <c r="W258" s="436"/>
      <c r="X258" s="302">
        <f t="shared" si="50"/>
        <v>-16214</v>
      </c>
      <c r="Y258" s="322">
        <f t="shared" si="51"/>
        <v>0</v>
      </c>
    </row>
    <row r="259" spans="1:25" x14ac:dyDescent="0.25">
      <c r="A259" s="148">
        <f>Données!A259</f>
        <v>5857</v>
      </c>
      <c r="B259" s="156" t="str">
        <f>Données!B259</f>
        <v>Gilly</v>
      </c>
      <c r="C259" s="321">
        <f>Données!C259</f>
        <v>1441</v>
      </c>
      <c r="D259" s="336"/>
      <c r="E259" s="318">
        <f>Données!X259</f>
        <v>772</v>
      </c>
      <c r="F259" s="361">
        <f t="shared" si="39"/>
        <v>0.53573907009021515</v>
      </c>
      <c r="G259" s="336">
        <f t="shared" si="40"/>
        <v>1125.5478526582954</v>
      </c>
      <c r="H259" s="344">
        <f t="shared" si="46"/>
        <v>0</v>
      </c>
      <c r="I259" s="362">
        <f t="shared" si="47"/>
        <v>0</v>
      </c>
      <c r="J259" s="357"/>
      <c r="K259" s="363">
        <f>Données!Y259</f>
        <v>14</v>
      </c>
      <c r="L259" s="324">
        <f>Données!Z259</f>
        <v>0.22800000000000001</v>
      </c>
      <c r="M259" s="336">
        <f t="shared" si="41"/>
        <v>133.33827893175075</v>
      </c>
      <c r="N259" s="362">
        <f t="shared" si="42"/>
        <v>-1867</v>
      </c>
      <c r="O259" s="357"/>
      <c r="P259" s="318">
        <f>Données!AA259</f>
        <v>166</v>
      </c>
      <c r="Q259" s="359">
        <f>Données!AB259</f>
        <v>78</v>
      </c>
      <c r="R259" s="302">
        <f t="shared" si="43"/>
        <v>177.7</v>
      </c>
      <c r="S259" s="364">
        <f t="shared" si="44"/>
        <v>0.12331714087439277</v>
      </c>
      <c r="T259" s="344">
        <f t="shared" si="45"/>
        <v>196.5856679002838</v>
      </c>
      <c r="U259" s="344">
        <f t="shared" si="48"/>
        <v>0</v>
      </c>
      <c r="V259" s="362">
        <f t="shared" si="49"/>
        <v>0</v>
      </c>
      <c r="W259" s="436"/>
      <c r="X259" s="302">
        <f t="shared" si="50"/>
        <v>0</v>
      </c>
      <c r="Y259" s="322">
        <f t="shared" si="51"/>
        <v>0</v>
      </c>
    </row>
    <row r="260" spans="1:25" x14ac:dyDescent="0.25">
      <c r="A260" s="148">
        <f>Données!A260</f>
        <v>5858</v>
      </c>
      <c r="B260" s="156" t="str">
        <f>Données!B260</f>
        <v>Luins</v>
      </c>
      <c r="C260" s="321">
        <f>Données!C260</f>
        <v>637</v>
      </c>
      <c r="D260" s="336"/>
      <c r="E260" s="318">
        <f>Données!X260</f>
        <v>262</v>
      </c>
      <c r="F260" s="361">
        <f t="shared" si="39"/>
        <v>0.41130298273155413</v>
      </c>
      <c r="G260" s="336">
        <f t="shared" si="40"/>
        <v>497.55307574138391</v>
      </c>
      <c r="H260" s="344">
        <f t="shared" si="46"/>
        <v>0</v>
      </c>
      <c r="I260" s="362">
        <f t="shared" si="47"/>
        <v>0</v>
      </c>
      <c r="J260" s="357"/>
      <c r="K260" s="363">
        <f>Données!Y260</f>
        <v>0</v>
      </c>
      <c r="L260" s="324">
        <f>Données!Z260</f>
        <v>7.3999999999999996E-2</v>
      </c>
      <c r="M260" s="336">
        <f t="shared" si="41"/>
        <v>43.276458951533137</v>
      </c>
      <c r="N260" s="362">
        <f t="shared" si="42"/>
        <v>0</v>
      </c>
      <c r="O260" s="357"/>
      <c r="P260" s="318">
        <f>Données!AA260</f>
        <v>75</v>
      </c>
      <c r="Q260" s="359">
        <f>Données!AB260</f>
        <v>66</v>
      </c>
      <c r="R260" s="302">
        <f t="shared" si="43"/>
        <v>84.9</v>
      </c>
      <c r="S260" s="364">
        <f t="shared" si="44"/>
        <v>0.13328100470957616</v>
      </c>
      <c r="T260" s="344">
        <f t="shared" si="45"/>
        <v>86.901506212686172</v>
      </c>
      <c r="U260" s="344">
        <f t="shared" si="48"/>
        <v>0</v>
      </c>
      <c r="V260" s="362">
        <f t="shared" si="49"/>
        <v>0</v>
      </c>
      <c r="W260" s="436"/>
      <c r="X260" s="302">
        <f t="shared" si="50"/>
        <v>0</v>
      </c>
      <c r="Y260" s="322">
        <f t="shared" si="51"/>
        <v>0</v>
      </c>
    </row>
    <row r="261" spans="1:25" x14ac:dyDescent="0.25">
      <c r="A261" s="148">
        <f>Données!A261</f>
        <v>5859</v>
      </c>
      <c r="B261" s="156" t="str">
        <f>Données!B261</f>
        <v>Mont-sur-Rolle</v>
      </c>
      <c r="C261" s="321">
        <f>Données!C261</f>
        <v>2749</v>
      </c>
      <c r="D261" s="336"/>
      <c r="E261" s="318">
        <f>Données!X261</f>
        <v>385</v>
      </c>
      <c r="F261" s="361">
        <f t="shared" si="39"/>
        <v>0.14005092761004001</v>
      </c>
      <c r="G261" s="336">
        <f t="shared" si="40"/>
        <v>2147.2109971947634</v>
      </c>
      <c r="H261" s="344">
        <f t="shared" si="46"/>
        <v>0</v>
      </c>
      <c r="I261" s="362">
        <f t="shared" si="47"/>
        <v>0</v>
      </c>
      <c r="J261" s="357"/>
      <c r="K261" s="363">
        <f>Données!Y261</f>
        <v>7</v>
      </c>
      <c r="L261" s="324">
        <f>Données!Z261</f>
        <v>0.161</v>
      </c>
      <c r="M261" s="336">
        <f t="shared" si="41"/>
        <v>94.155539070227505</v>
      </c>
      <c r="N261" s="362">
        <f t="shared" si="42"/>
        <v>-659</v>
      </c>
      <c r="O261" s="357"/>
      <c r="P261" s="318">
        <f>Données!AA261</f>
        <v>357</v>
      </c>
      <c r="Q261" s="359">
        <f>Données!AB261</f>
        <v>17</v>
      </c>
      <c r="R261" s="302">
        <f t="shared" si="43"/>
        <v>359.55</v>
      </c>
      <c r="S261" s="364">
        <f t="shared" si="44"/>
        <v>0.13079301564205165</v>
      </c>
      <c r="T261" s="344">
        <f t="shared" si="45"/>
        <v>375.02706527264411</v>
      </c>
      <c r="U261" s="344">
        <f t="shared" si="48"/>
        <v>0</v>
      </c>
      <c r="V261" s="362">
        <f t="shared" si="49"/>
        <v>0</v>
      </c>
      <c r="W261" s="436"/>
      <c r="X261" s="302">
        <f t="shared" si="50"/>
        <v>0</v>
      </c>
      <c r="Y261" s="322">
        <f t="shared" si="51"/>
        <v>0</v>
      </c>
    </row>
    <row r="262" spans="1:25" x14ac:dyDescent="0.25">
      <c r="A262" s="148">
        <f>Données!A262</f>
        <v>5860</v>
      </c>
      <c r="B262" s="156" t="str">
        <f>Données!B262</f>
        <v>Perroy</v>
      </c>
      <c r="C262" s="321">
        <f>Données!C262</f>
        <v>1588</v>
      </c>
      <c r="D262" s="336"/>
      <c r="E262" s="318">
        <f>Données!X262</f>
        <v>286</v>
      </c>
      <c r="F262" s="361">
        <f t="shared" si="39"/>
        <v>0.1801007556675063</v>
      </c>
      <c r="G262" s="336">
        <f t="shared" si="40"/>
        <v>1240.3677932139994</v>
      </c>
      <c r="H262" s="344">
        <f t="shared" si="46"/>
        <v>0</v>
      </c>
      <c r="I262" s="362">
        <f t="shared" si="47"/>
        <v>0</v>
      </c>
      <c r="J262" s="357"/>
      <c r="K262" s="363">
        <f>Données!Y262</f>
        <v>0</v>
      </c>
      <c r="L262" s="324">
        <f>Données!Z262</f>
        <v>6.9000000000000006E-2</v>
      </c>
      <c r="M262" s="336">
        <f t="shared" si="41"/>
        <v>40.352373887240361</v>
      </c>
      <c r="N262" s="362">
        <f t="shared" si="42"/>
        <v>0</v>
      </c>
      <c r="O262" s="357"/>
      <c r="P262" s="318">
        <f>Données!AA262</f>
        <v>158</v>
      </c>
      <c r="Q262" s="359">
        <f>Données!AB262</f>
        <v>96</v>
      </c>
      <c r="R262" s="302">
        <f t="shared" si="43"/>
        <v>172.4</v>
      </c>
      <c r="S262" s="364">
        <f t="shared" si="44"/>
        <v>0.10856423173803527</v>
      </c>
      <c r="T262" s="344">
        <f t="shared" si="45"/>
        <v>216.63986164167289</v>
      </c>
      <c r="U262" s="344">
        <f t="shared" si="48"/>
        <v>0</v>
      </c>
      <c r="V262" s="362">
        <f t="shared" si="49"/>
        <v>0</v>
      </c>
      <c r="W262" s="436"/>
      <c r="X262" s="302">
        <f t="shared" si="50"/>
        <v>0</v>
      </c>
      <c r="Y262" s="322">
        <f t="shared" si="51"/>
        <v>0</v>
      </c>
    </row>
    <row r="263" spans="1:25" x14ac:dyDescent="0.25">
      <c r="A263" s="148">
        <f>Données!A263</f>
        <v>5861</v>
      </c>
      <c r="B263" s="156" t="str">
        <f>Données!B263</f>
        <v>Rolle</v>
      </c>
      <c r="C263" s="321">
        <f>Données!C263</f>
        <v>6537</v>
      </c>
      <c r="D263" s="336"/>
      <c r="E263" s="318">
        <f>Données!X263</f>
        <v>268</v>
      </c>
      <c r="F263" s="361">
        <f t="shared" si="39"/>
        <v>4.0997399418693591E-2</v>
      </c>
      <c r="G263" s="336">
        <f t="shared" si="40"/>
        <v>5105.9724585893664</v>
      </c>
      <c r="H263" s="344">
        <f t="shared" si="46"/>
        <v>0</v>
      </c>
      <c r="I263" s="362">
        <f t="shared" si="47"/>
        <v>0</v>
      </c>
      <c r="J263" s="357"/>
      <c r="K263" s="363">
        <f>Données!Y263</f>
        <v>0</v>
      </c>
      <c r="L263" s="324">
        <f>Données!Z263</f>
        <v>4.1000000000000002E-2</v>
      </c>
      <c r="M263" s="336">
        <f t="shared" si="41"/>
        <v>23.977497527200793</v>
      </c>
      <c r="N263" s="362">
        <f t="shared" si="42"/>
        <v>0</v>
      </c>
      <c r="O263" s="357"/>
      <c r="P263" s="318">
        <f>Données!AA263</f>
        <v>669</v>
      </c>
      <c r="Q263" s="359">
        <f>Données!AB263</f>
        <v>14</v>
      </c>
      <c r="R263" s="302">
        <f t="shared" si="43"/>
        <v>671.1</v>
      </c>
      <c r="S263" s="364">
        <f t="shared" si="44"/>
        <v>0.10266177145479578</v>
      </c>
      <c r="T263" s="344">
        <f t="shared" si="45"/>
        <v>891.79771760177312</v>
      </c>
      <c r="U263" s="344">
        <f t="shared" si="48"/>
        <v>0</v>
      </c>
      <c r="V263" s="362">
        <f t="shared" si="49"/>
        <v>0</v>
      </c>
      <c r="W263" s="436"/>
      <c r="X263" s="302">
        <f t="shared" si="50"/>
        <v>0</v>
      </c>
      <c r="Y263" s="322">
        <f t="shared" si="51"/>
        <v>0</v>
      </c>
    </row>
    <row r="264" spans="1:25" x14ac:dyDescent="0.25">
      <c r="A264" s="148">
        <f>Données!A264</f>
        <v>5862</v>
      </c>
      <c r="B264" s="156" t="str">
        <f>Données!B264</f>
        <v>Tartegnin</v>
      </c>
      <c r="C264" s="321">
        <f>Données!C264</f>
        <v>238</v>
      </c>
      <c r="D264" s="336"/>
      <c r="E264" s="318">
        <f>Données!X264</f>
        <v>108</v>
      </c>
      <c r="F264" s="361">
        <f t="shared" ref="F264:F306" si="52">E264/C264</f>
        <v>0.45378151260504201</v>
      </c>
      <c r="G264" s="336">
        <f t="shared" ref="G264:G307" si="53">C264*$I$4</f>
        <v>185.89895137590167</v>
      </c>
      <c r="H264" s="344">
        <f t="shared" si="46"/>
        <v>0</v>
      </c>
      <c r="I264" s="362">
        <f t="shared" si="47"/>
        <v>0</v>
      </c>
      <c r="J264" s="357"/>
      <c r="K264" s="363">
        <f>Données!Y264</f>
        <v>0</v>
      </c>
      <c r="L264" s="324">
        <f>Données!Z264</f>
        <v>0.221</v>
      </c>
      <c r="M264" s="336">
        <f t="shared" ref="M264:M307" si="54">L264*$N$5</f>
        <v>129.24455984174085</v>
      </c>
      <c r="N264" s="362">
        <f t="shared" ref="N264:N307" si="55">ROUND(-M264*K264,0)</f>
        <v>0</v>
      </c>
      <c r="O264" s="357"/>
      <c r="P264" s="318">
        <f>Données!AA264</f>
        <v>19</v>
      </c>
      <c r="Q264" s="359">
        <f>Données!AB264</f>
        <v>5</v>
      </c>
      <c r="R264" s="302">
        <f t="shared" ref="R264:R307" si="56">P264*$P$6+Q264*$Q$6</f>
        <v>19.75</v>
      </c>
      <c r="S264" s="364">
        <f t="shared" ref="S264:S307" si="57">R264/C264</f>
        <v>8.2983193277310921E-2</v>
      </c>
      <c r="T264" s="344">
        <f t="shared" ref="T264:T307" si="58">$V$4*C264</f>
        <v>32.468694628915713</v>
      </c>
      <c r="U264" s="344">
        <f t="shared" si="48"/>
        <v>0</v>
      </c>
      <c r="V264" s="362">
        <f t="shared" si="49"/>
        <v>0</v>
      </c>
      <c r="W264" s="436"/>
      <c r="X264" s="302">
        <f t="shared" si="50"/>
        <v>0</v>
      </c>
      <c r="Y264" s="322">
        <f t="shared" si="51"/>
        <v>0</v>
      </c>
    </row>
    <row r="265" spans="1:25" x14ac:dyDescent="0.25">
      <c r="A265" s="148">
        <f>Données!A265</f>
        <v>5863</v>
      </c>
      <c r="B265" s="156" t="str">
        <f>Données!B265</f>
        <v>Vinzel</v>
      </c>
      <c r="C265" s="321">
        <f>Données!C265</f>
        <v>387</v>
      </c>
      <c r="D265" s="336"/>
      <c r="E265" s="318">
        <f>Données!X265</f>
        <v>109</v>
      </c>
      <c r="F265" s="361">
        <f t="shared" si="52"/>
        <v>0.28165374677002586</v>
      </c>
      <c r="G265" s="336">
        <f t="shared" si="53"/>
        <v>302.28106799358801</v>
      </c>
      <c r="H265" s="344">
        <f t="shared" ref="H265:H307" si="59">IF(E265&gt;G265,E265-G265,0)</f>
        <v>0</v>
      </c>
      <c r="I265" s="362">
        <f t="shared" ref="I265:I307" si="60">ROUND(-H265*$I$5,0)</f>
        <v>0</v>
      </c>
      <c r="J265" s="357"/>
      <c r="K265" s="363">
        <f>Données!Y265</f>
        <v>0</v>
      </c>
      <c r="L265" s="324">
        <f>Données!Z265</f>
        <v>0.152</v>
      </c>
      <c r="M265" s="336">
        <f t="shared" si="54"/>
        <v>88.892185954500505</v>
      </c>
      <c r="N265" s="362">
        <f t="shared" si="55"/>
        <v>0</v>
      </c>
      <c r="O265" s="357"/>
      <c r="P265" s="318">
        <f>Données!AA265</f>
        <v>36</v>
      </c>
      <c r="Q265" s="359">
        <f>Données!AB265</f>
        <v>22</v>
      </c>
      <c r="R265" s="302">
        <f t="shared" si="56"/>
        <v>39.299999999999997</v>
      </c>
      <c r="S265" s="364">
        <f t="shared" si="57"/>
        <v>0.10155038759689922</v>
      </c>
      <c r="T265" s="344">
        <f t="shared" si="58"/>
        <v>52.795734543657062</v>
      </c>
      <c r="U265" s="344">
        <f t="shared" ref="U265:U307" si="61">IF(R265&gt;T265,R265-T265,0)</f>
        <v>0</v>
      </c>
      <c r="V265" s="362">
        <f t="shared" ref="V265:V307" si="62">ROUND(-$V$5*U265,0)</f>
        <v>0</v>
      </c>
      <c r="W265" s="436"/>
      <c r="X265" s="302">
        <f t="shared" ref="X265:X307" si="63">IF(-Q265*$Q$6*$V$5&gt;V265,-Q265*$Q$6*$V$5,V265)</f>
        <v>0</v>
      </c>
      <c r="Y265" s="322">
        <f t="shared" ref="Y265:Y307" si="64">IF(X265&gt;V265,V265-X265,0)</f>
        <v>0</v>
      </c>
    </row>
    <row r="266" spans="1:25" x14ac:dyDescent="0.25">
      <c r="A266" s="148">
        <f>Données!A266</f>
        <v>5871</v>
      </c>
      <c r="B266" s="156" t="str">
        <f>Données!B266</f>
        <v>L'Abbaye</v>
      </c>
      <c r="C266" s="321">
        <f>Données!C266</f>
        <v>1538</v>
      </c>
      <c r="D266" s="336"/>
      <c r="E266" s="318">
        <f>Données!X266</f>
        <v>3145</v>
      </c>
      <c r="F266" s="361">
        <f t="shared" si="52"/>
        <v>2.0448634590377113</v>
      </c>
      <c r="G266" s="336">
        <f t="shared" si="53"/>
        <v>1201.3133916644401</v>
      </c>
      <c r="H266" s="344">
        <f t="shared" si="59"/>
        <v>1943.6866083355599</v>
      </c>
      <c r="I266" s="362">
        <f t="shared" si="60"/>
        <v>-206673</v>
      </c>
      <c r="J266" s="357"/>
      <c r="K266" s="363">
        <f>Données!Y266</f>
        <v>1538</v>
      </c>
      <c r="L266" s="324">
        <f>Données!Z266</f>
        <v>0.20399999999999999</v>
      </c>
      <c r="M266" s="336">
        <f t="shared" si="54"/>
        <v>119.3026706231454</v>
      </c>
      <c r="N266" s="362">
        <f t="shared" si="55"/>
        <v>-183488</v>
      </c>
      <c r="O266" s="357"/>
      <c r="P266" s="318">
        <f>Données!AA266</f>
        <v>160</v>
      </c>
      <c r="Q266" s="359">
        <f>Données!AB266</f>
        <v>118</v>
      </c>
      <c r="R266" s="302">
        <f t="shared" si="56"/>
        <v>177.7</v>
      </c>
      <c r="S266" s="364">
        <f t="shared" si="57"/>
        <v>0.11553966189856957</v>
      </c>
      <c r="T266" s="344">
        <f t="shared" si="58"/>
        <v>209.81870730786707</v>
      </c>
      <c r="U266" s="344">
        <f t="shared" si="61"/>
        <v>0</v>
      </c>
      <c r="V266" s="362">
        <f t="shared" si="62"/>
        <v>0</v>
      </c>
      <c r="W266" s="436"/>
      <c r="X266" s="302">
        <f t="shared" si="63"/>
        <v>0</v>
      </c>
      <c r="Y266" s="322">
        <f t="shared" si="64"/>
        <v>0</v>
      </c>
    </row>
    <row r="267" spans="1:25" x14ac:dyDescent="0.25">
      <c r="A267" s="148">
        <f>Données!A267</f>
        <v>5872</v>
      </c>
      <c r="B267" s="156" t="str">
        <f>Données!B267</f>
        <v>Le Chenit</v>
      </c>
      <c r="C267" s="321">
        <f>Données!C267</f>
        <v>4760</v>
      </c>
      <c r="D267" s="336"/>
      <c r="E267" s="318">
        <f>Données!X267</f>
        <v>9779</v>
      </c>
      <c r="F267" s="361">
        <f t="shared" si="52"/>
        <v>2.0544117647058822</v>
      </c>
      <c r="G267" s="336">
        <f t="shared" si="53"/>
        <v>3717.9790275180335</v>
      </c>
      <c r="H267" s="344">
        <f t="shared" si="59"/>
        <v>6061.020972481967</v>
      </c>
      <c r="I267" s="362">
        <f t="shared" si="60"/>
        <v>-644471</v>
      </c>
      <c r="J267" s="357"/>
      <c r="K267" s="363">
        <f>Données!Y267</f>
        <v>4760</v>
      </c>
      <c r="L267" s="324">
        <f>Données!Z267</f>
        <v>0.127</v>
      </c>
      <c r="M267" s="336">
        <f t="shared" si="54"/>
        <v>74.271760633036607</v>
      </c>
      <c r="N267" s="362">
        <f t="shared" si="55"/>
        <v>-353534</v>
      </c>
      <c r="O267" s="357"/>
      <c r="P267" s="318">
        <f>Données!AA267</f>
        <v>527</v>
      </c>
      <c r="Q267" s="359">
        <f>Données!AB267</f>
        <v>89</v>
      </c>
      <c r="R267" s="302">
        <f t="shared" si="56"/>
        <v>540.35</v>
      </c>
      <c r="S267" s="364">
        <f t="shared" si="57"/>
        <v>0.11351890756302521</v>
      </c>
      <c r="T267" s="344">
        <f t="shared" si="58"/>
        <v>649.37389257831421</v>
      </c>
      <c r="U267" s="344">
        <f t="shared" si="61"/>
        <v>0</v>
      </c>
      <c r="V267" s="362">
        <f t="shared" si="62"/>
        <v>0</v>
      </c>
      <c r="W267" s="436"/>
      <c r="X267" s="302">
        <f t="shared" si="63"/>
        <v>0</v>
      </c>
      <c r="Y267" s="322">
        <f t="shared" si="64"/>
        <v>0</v>
      </c>
    </row>
    <row r="268" spans="1:25" x14ac:dyDescent="0.25">
      <c r="A268" s="148">
        <f>Données!A268</f>
        <v>5873</v>
      </c>
      <c r="B268" s="156" t="str">
        <f>Données!B268</f>
        <v>Le Lieu</v>
      </c>
      <c r="C268" s="321">
        <f>Données!C268</f>
        <v>925</v>
      </c>
      <c r="D268" s="336"/>
      <c r="E268" s="318">
        <f>Données!X268</f>
        <v>3181</v>
      </c>
      <c r="F268" s="361">
        <f t="shared" si="52"/>
        <v>3.4389189189189189</v>
      </c>
      <c r="G268" s="336">
        <f t="shared" si="53"/>
        <v>722.50642866684473</v>
      </c>
      <c r="H268" s="344">
        <f t="shared" si="59"/>
        <v>2458.4935713331552</v>
      </c>
      <c r="I268" s="362">
        <f t="shared" si="60"/>
        <v>-261413</v>
      </c>
      <c r="J268" s="357"/>
      <c r="K268" s="363">
        <f>Données!Y268</f>
        <v>925</v>
      </c>
      <c r="L268" s="324">
        <f>Données!Z268</f>
        <v>0.123</v>
      </c>
      <c r="M268" s="336">
        <f t="shared" si="54"/>
        <v>71.932492581602375</v>
      </c>
      <c r="N268" s="362">
        <f t="shared" si="55"/>
        <v>-66538</v>
      </c>
      <c r="O268" s="357"/>
      <c r="P268" s="318">
        <f>Données!AA268</f>
        <v>102</v>
      </c>
      <c r="Q268" s="359">
        <f>Données!AB268</f>
        <v>76</v>
      </c>
      <c r="R268" s="302">
        <f t="shared" si="56"/>
        <v>113.4</v>
      </c>
      <c r="S268" s="364">
        <f t="shared" si="57"/>
        <v>0.1225945945945946</v>
      </c>
      <c r="T268" s="344">
        <f t="shared" si="58"/>
        <v>126.19135517540771</v>
      </c>
      <c r="U268" s="344">
        <f t="shared" si="61"/>
        <v>0</v>
      </c>
      <c r="V268" s="362">
        <f t="shared" si="62"/>
        <v>0</v>
      </c>
      <c r="W268" s="436"/>
      <c r="X268" s="302">
        <f t="shared" si="63"/>
        <v>0</v>
      </c>
      <c r="Y268" s="322">
        <f t="shared" si="64"/>
        <v>0</v>
      </c>
    </row>
    <row r="269" spans="1:25" x14ac:dyDescent="0.25">
      <c r="A269" s="148">
        <f>Données!A269</f>
        <v>5882</v>
      </c>
      <c r="B269" s="156" t="str">
        <f>Données!B269</f>
        <v>Chardonne</v>
      </c>
      <c r="C269" s="321">
        <f>Données!C269</f>
        <v>3340</v>
      </c>
      <c r="D269" s="336"/>
      <c r="E269" s="318">
        <f>Données!X269</f>
        <v>1024</v>
      </c>
      <c r="F269" s="361">
        <f t="shared" si="52"/>
        <v>0.30658682634730539</v>
      </c>
      <c r="G269" s="336">
        <f t="shared" si="53"/>
        <v>2608.8340235105529</v>
      </c>
      <c r="H269" s="344">
        <f t="shared" si="59"/>
        <v>0</v>
      </c>
      <c r="I269" s="362">
        <f t="shared" si="60"/>
        <v>0</v>
      </c>
      <c r="J269" s="357"/>
      <c r="K269" s="363">
        <f>Données!Y269</f>
        <v>1107</v>
      </c>
      <c r="L269" s="324">
        <f>Données!Z269</f>
        <v>0.32900000000000001</v>
      </c>
      <c r="M269" s="336">
        <f t="shared" si="54"/>
        <v>192.40479723046491</v>
      </c>
      <c r="N269" s="362">
        <f t="shared" si="55"/>
        <v>-212992</v>
      </c>
      <c r="O269" s="357"/>
      <c r="P269" s="318">
        <f>Données!AA269</f>
        <v>278</v>
      </c>
      <c r="Q269" s="359">
        <f>Données!AB269</f>
        <v>93</v>
      </c>
      <c r="R269" s="302">
        <f t="shared" si="56"/>
        <v>291.95</v>
      </c>
      <c r="S269" s="364">
        <f t="shared" si="57"/>
        <v>8.7410179640718566E-2</v>
      </c>
      <c r="T269" s="344">
        <f t="shared" si="58"/>
        <v>455.6531094982289</v>
      </c>
      <c r="U269" s="344">
        <f t="shared" si="61"/>
        <v>0</v>
      </c>
      <c r="V269" s="362">
        <f t="shared" si="62"/>
        <v>0</v>
      </c>
      <c r="W269" s="436"/>
      <c r="X269" s="302">
        <f t="shared" si="63"/>
        <v>0</v>
      </c>
      <c r="Y269" s="322">
        <f t="shared" si="64"/>
        <v>0</v>
      </c>
    </row>
    <row r="270" spans="1:25" x14ac:dyDescent="0.25">
      <c r="A270" s="148">
        <f>Données!A270</f>
        <v>5883</v>
      </c>
      <c r="B270" s="156" t="str">
        <f>Données!B270</f>
        <v>Corseaux</v>
      </c>
      <c r="C270" s="321">
        <f>Données!C270</f>
        <v>2322</v>
      </c>
      <c r="D270" s="336"/>
      <c r="E270" s="318">
        <f>Données!X270</f>
        <v>106</v>
      </c>
      <c r="F270" s="361">
        <f t="shared" si="52"/>
        <v>4.5650301464254951E-2</v>
      </c>
      <c r="G270" s="336">
        <f t="shared" si="53"/>
        <v>1813.6864079615282</v>
      </c>
      <c r="H270" s="344">
        <f t="shared" si="59"/>
        <v>0</v>
      </c>
      <c r="I270" s="362">
        <f t="shared" si="60"/>
        <v>0</v>
      </c>
      <c r="J270" s="357"/>
      <c r="K270" s="363">
        <f>Données!Y270</f>
        <v>0</v>
      </c>
      <c r="L270" s="324">
        <f>Données!Z270</f>
        <v>0.22500000000000001</v>
      </c>
      <c r="M270" s="336">
        <f t="shared" si="54"/>
        <v>131.58382789317508</v>
      </c>
      <c r="N270" s="362">
        <f t="shared" si="55"/>
        <v>0</v>
      </c>
      <c r="O270" s="357"/>
      <c r="P270" s="318">
        <f>Données!AA270</f>
        <v>200</v>
      </c>
      <c r="Q270" s="359">
        <f>Données!AB270</f>
        <v>3</v>
      </c>
      <c r="R270" s="302">
        <f t="shared" si="56"/>
        <v>200.45</v>
      </c>
      <c r="S270" s="364">
        <f t="shared" si="57"/>
        <v>8.632644272179156E-2</v>
      </c>
      <c r="T270" s="344">
        <f t="shared" si="58"/>
        <v>316.77440726194237</v>
      </c>
      <c r="U270" s="344">
        <f t="shared" si="61"/>
        <v>0</v>
      </c>
      <c r="V270" s="362">
        <f t="shared" si="62"/>
        <v>0</v>
      </c>
      <c r="W270" s="436"/>
      <c r="X270" s="302">
        <f t="shared" si="63"/>
        <v>0</v>
      </c>
      <c r="Y270" s="322">
        <f t="shared" si="64"/>
        <v>0</v>
      </c>
    </row>
    <row r="271" spans="1:25" x14ac:dyDescent="0.25">
      <c r="A271" s="148">
        <f>Données!A271</f>
        <v>5884</v>
      </c>
      <c r="B271" s="156" t="str">
        <f>Données!B271</f>
        <v>Corsier-sur-Vevey</v>
      </c>
      <c r="C271" s="321">
        <f>Données!C271</f>
        <v>3389</v>
      </c>
      <c r="D271" s="336"/>
      <c r="E271" s="318">
        <f>Données!X271</f>
        <v>669</v>
      </c>
      <c r="F271" s="361">
        <f t="shared" si="52"/>
        <v>0.19740336382413692</v>
      </c>
      <c r="G271" s="336">
        <f t="shared" si="53"/>
        <v>2647.107337029121</v>
      </c>
      <c r="H271" s="344">
        <f t="shared" si="59"/>
        <v>0</v>
      </c>
      <c r="I271" s="362">
        <f t="shared" si="60"/>
        <v>0</v>
      </c>
      <c r="J271" s="357"/>
      <c r="K271" s="363">
        <f>Données!Y271</f>
        <v>746</v>
      </c>
      <c r="L271" s="324">
        <f>Données!Z271</f>
        <v>0.38100000000000001</v>
      </c>
      <c r="M271" s="336">
        <f t="shared" si="54"/>
        <v>222.81528189910981</v>
      </c>
      <c r="N271" s="362">
        <f t="shared" si="55"/>
        <v>-166220</v>
      </c>
      <c r="O271" s="357"/>
      <c r="P271" s="318">
        <f>Données!AA271</f>
        <v>358</v>
      </c>
      <c r="Q271" s="359">
        <f>Données!AB271</f>
        <v>108</v>
      </c>
      <c r="R271" s="302">
        <f t="shared" si="56"/>
        <v>374.2</v>
      </c>
      <c r="S271" s="364">
        <f t="shared" si="57"/>
        <v>0.11041605193272351</v>
      </c>
      <c r="T271" s="344">
        <f t="shared" si="58"/>
        <v>462.33784074535862</v>
      </c>
      <c r="U271" s="344">
        <f t="shared" si="61"/>
        <v>0</v>
      </c>
      <c r="V271" s="362">
        <f t="shared" si="62"/>
        <v>0</v>
      </c>
      <c r="W271" s="436"/>
      <c r="X271" s="302">
        <f t="shared" si="63"/>
        <v>0</v>
      </c>
      <c r="Y271" s="322">
        <f t="shared" si="64"/>
        <v>0</v>
      </c>
    </row>
    <row r="272" spans="1:25" x14ac:dyDescent="0.25">
      <c r="A272" s="148">
        <f>Données!A272</f>
        <v>5885</v>
      </c>
      <c r="B272" s="156" t="str">
        <f>Données!B272</f>
        <v>Jongny</v>
      </c>
      <c r="C272" s="321">
        <f>Données!C272</f>
        <v>1921</v>
      </c>
      <c r="D272" s="336"/>
      <c r="E272" s="318">
        <f>Données!X272</f>
        <v>214</v>
      </c>
      <c r="F272" s="361">
        <f t="shared" si="52"/>
        <v>0.11140031233732431</v>
      </c>
      <c r="G272" s="336">
        <f t="shared" si="53"/>
        <v>1500.4701075340636</v>
      </c>
      <c r="H272" s="344">
        <f t="shared" si="59"/>
        <v>0</v>
      </c>
      <c r="I272" s="362">
        <f t="shared" si="60"/>
        <v>0</v>
      </c>
      <c r="J272" s="357"/>
      <c r="K272" s="363">
        <f>Données!Y272</f>
        <v>216</v>
      </c>
      <c r="L272" s="324">
        <f>Données!Z272</f>
        <v>0.17399999999999999</v>
      </c>
      <c r="M272" s="336">
        <f t="shared" si="54"/>
        <v>101.75816023738872</v>
      </c>
      <c r="N272" s="362">
        <f t="shared" si="55"/>
        <v>-21980</v>
      </c>
      <c r="O272" s="357"/>
      <c r="P272" s="318">
        <f>Données!AA272</f>
        <v>233</v>
      </c>
      <c r="Q272" s="359">
        <f>Données!AB272</f>
        <v>47</v>
      </c>
      <c r="R272" s="302">
        <f t="shared" si="56"/>
        <v>240.05</v>
      </c>
      <c r="S272" s="364">
        <f t="shared" si="57"/>
        <v>0.12496095783446122</v>
      </c>
      <c r="T272" s="344">
        <f t="shared" si="58"/>
        <v>262.06874950481966</v>
      </c>
      <c r="U272" s="344">
        <f t="shared" si="61"/>
        <v>0</v>
      </c>
      <c r="V272" s="362">
        <f t="shared" si="62"/>
        <v>0</v>
      </c>
      <c r="W272" s="436"/>
      <c r="X272" s="302">
        <f t="shared" si="63"/>
        <v>0</v>
      </c>
      <c r="Y272" s="322">
        <f t="shared" si="64"/>
        <v>0</v>
      </c>
    </row>
    <row r="273" spans="1:25" x14ac:dyDescent="0.25">
      <c r="A273" s="148">
        <f>Données!A273</f>
        <v>5886</v>
      </c>
      <c r="B273" s="156" t="str">
        <f>Données!B273</f>
        <v>Montreux</v>
      </c>
      <c r="C273" s="321">
        <f>Données!C273</f>
        <v>26964</v>
      </c>
      <c r="D273" s="336"/>
      <c r="E273" s="318">
        <f>Données!X273</f>
        <v>3196</v>
      </c>
      <c r="F273" s="361">
        <f t="shared" si="52"/>
        <v>0.11852840824803441</v>
      </c>
      <c r="G273" s="336">
        <f t="shared" si="53"/>
        <v>21061.257667646274</v>
      </c>
      <c r="H273" s="344">
        <f t="shared" si="59"/>
        <v>0</v>
      </c>
      <c r="I273" s="362">
        <f t="shared" si="60"/>
        <v>0</v>
      </c>
      <c r="J273" s="357"/>
      <c r="K273" s="363">
        <f>Données!Y273</f>
        <v>1486</v>
      </c>
      <c r="L273" s="324">
        <f>Données!Z273</f>
        <v>0.70299999999999996</v>
      </c>
      <c r="M273" s="336">
        <f t="shared" si="54"/>
        <v>411.12636003956482</v>
      </c>
      <c r="N273" s="362">
        <f t="shared" si="55"/>
        <v>-610934</v>
      </c>
      <c r="O273" s="357"/>
      <c r="P273" s="318">
        <f>Données!AA273</f>
        <v>2368</v>
      </c>
      <c r="Q273" s="359">
        <f>Données!AB273</f>
        <v>164</v>
      </c>
      <c r="R273" s="302">
        <f t="shared" si="56"/>
        <v>2392.6</v>
      </c>
      <c r="S273" s="364">
        <f t="shared" si="57"/>
        <v>8.8733125649013492E-2</v>
      </c>
      <c r="T273" s="344">
        <f t="shared" si="58"/>
        <v>3678.5121091348037</v>
      </c>
      <c r="U273" s="344">
        <f t="shared" si="61"/>
        <v>0</v>
      </c>
      <c r="V273" s="362">
        <f t="shared" si="62"/>
        <v>0</v>
      </c>
      <c r="W273" s="436"/>
      <c r="X273" s="302">
        <f t="shared" si="63"/>
        <v>0</v>
      </c>
      <c r="Y273" s="322">
        <f t="shared" si="64"/>
        <v>0</v>
      </c>
    </row>
    <row r="274" spans="1:25" x14ac:dyDescent="0.25">
      <c r="A274" s="148">
        <f>Données!A274</f>
        <v>5889</v>
      </c>
      <c r="B274" s="156" t="str">
        <f>Données!B274</f>
        <v>La Tour-de-Peilz</v>
      </c>
      <c r="C274" s="321">
        <f>Données!C274</f>
        <v>12812</v>
      </c>
      <c r="D274" s="336"/>
      <c r="E274" s="318">
        <f>Données!X274</f>
        <v>326</v>
      </c>
      <c r="F274" s="361">
        <f t="shared" si="52"/>
        <v>2.5444895410552608E-2</v>
      </c>
      <c r="G274" s="336">
        <f t="shared" si="53"/>
        <v>10007.299853059043</v>
      </c>
      <c r="H274" s="344">
        <f t="shared" si="59"/>
        <v>0</v>
      </c>
      <c r="I274" s="362">
        <f t="shared" si="60"/>
        <v>0</v>
      </c>
      <c r="J274" s="357"/>
      <c r="K274" s="363">
        <f>Données!Y274</f>
        <v>0</v>
      </c>
      <c r="L274" s="324">
        <f>Données!Z274</f>
        <v>0.12</v>
      </c>
      <c r="M274" s="336">
        <f t="shared" si="54"/>
        <v>70.178041543026708</v>
      </c>
      <c r="N274" s="362">
        <f t="shared" si="55"/>
        <v>0</v>
      </c>
      <c r="O274" s="357"/>
      <c r="P274" s="318">
        <f>Données!AA274</f>
        <v>1332</v>
      </c>
      <c r="Q274" s="359">
        <f>Données!AB274</f>
        <v>17</v>
      </c>
      <c r="R274" s="302">
        <f t="shared" si="56"/>
        <v>1334.55</v>
      </c>
      <c r="S274" s="364">
        <f t="shared" si="57"/>
        <v>0.10416406493911957</v>
      </c>
      <c r="T274" s="344">
        <f t="shared" si="58"/>
        <v>1747.8525864944038</v>
      </c>
      <c r="U274" s="344">
        <f t="shared" si="61"/>
        <v>0</v>
      </c>
      <c r="V274" s="362">
        <f t="shared" si="62"/>
        <v>0</v>
      </c>
      <c r="W274" s="436"/>
      <c r="X274" s="302">
        <f t="shared" si="63"/>
        <v>0</v>
      </c>
      <c r="Y274" s="322">
        <f t="shared" si="64"/>
        <v>0</v>
      </c>
    </row>
    <row r="275" spans="1:25" x14ac:dyDescent="0.25">
      <c r="A275" s="148">
        <f>Données!A275</f>
        <v>5890</v>
      </c>
      <c r="B275" s="156" t="str">
        <f>Données!B275</f>
        <v>Vevey</v>
      </c>
      <c r="C275" s="321">
        <f>Données!C275</f>
        <v>20146</v>
      </c>
      <c r="D275" s="336"/>
      <c r="E275" s="318">
        <f>Données!X275</f>
        <v>230</v>
      </c>
      <c r="F275" s="361">
        <f t="shared" si="52"/>
        <v>1.1416658393725802E-2</v>
      </c>
      <c r="G275" s="336">
        <f t="shared" si="53"/>
        <v>15735.799472348383</v>
      </c>
      <c r="H275" s="344">
        <f t="shared" si="59"/>
        <v>0</v>
      </c>
      <c r="I275" s="362">
        <f t="shared" si="60"/>
        <v>0</v>
      </c>
      <c r="J275" s="357"/>
      <c r="K275" s="363">
        <f>Données!Y275</f>
        <v>0</v>
      </c>
      <c r="L275" s="324">
        <f>Données!Z275</f>
        <v>0.124</v>
      </c>
      <c r="M275" s="336">
        <f t="shared" si="54"/>
        <v>72.51730959446094</v>
      </c>
      <c r="N275" s="362">
        <f t="shared" si="55"/>
        <v>0</v>
      </c>
      <c r="O275" s="357"/>
      <c r="P275" s="318">
        <f>Données!AA275</f>
        <v>2002</v>
      </c>
      <c r="Q275" s="359">
        <f>Données!AB275</f>
        <v>31</v>
      </c>
      <c r="R275" s="302">
        <f t="shared" si="56"/>
        <v>2006.65</v>
      </c>
      <c r="S275" s="364">
        <f t="shared" si="57"/>
        <v>9.9605380720738615E-2</v>
      </c>
      <c r="T275" s="344">
        <f t="shared" si="58"/>
        <v>2748.3795041770418</v>
      </c>
      <c r="U275" s="344">
        <f t="shared" si="61"/>
        <v>0</v>
      </c>
      <c r="V275" s="362">
        <f t="shared" si="62"/>
        <v>0</v>
      </c>
      <c r="W275" s="436"/>
      <c r="X275" s="302">
        <f t="shared" si="63"/>
        <v>0</v>
      </c>
      <c r="Y275" s="322">
        <f t="shared" si="64"/>
        <v>0</v>
      </c>
    </row>
    <row r="276" spans="1:25" x14ac:dyDescent="0.25">
      <c r="A276" s="148">
        <f>Données!A276</f>
        <v>5891</v>
      </c>
      <c r="B276" s="156" t="str">
        <f>Données!B276</f>
        <v>Veytaux</v>
      </c>
      <c r="C276" s="321">
        <f>Données!C276</f>
        <v>1043</v>
      </c>
      <c r="D276" s="336"/>
      <c r="E276" s="318">
        <f>Données!X276</f>
        <v>642</v>
      </c>
      <c r="F276" s="361">
        <f t="shared" si="52"/>
        <v>0.61553211888782355</v>
      </c>
      <c r="G276" s="336">
        <f t="shared" si="53"/>
        <v>814.67481632380441</v>
      </c>
      <c r="H276" s="344">
        <f t="shared" si="59"/>
        <v>0</v>
      </c>
      <c r="I276" s="362">
        <f t="shared" si="60"/>
        <v>0</v>
      </c>
      <c r="J276" s="357"/>
      <c r="K276" s="363">
        <f>Données!Y276</f>
        <v>12</v>
      </c>
      <c r="L276" s="324">
        <f>Données!Z276</f>
        <v>0.88100000000000001</v>
      </c>
      <c r="M276" s="336">
        <f t="shared" si="54"/>
        <v>515.22378832838774</v>
      </c>
      <c r="N276" s="362">
        <f t="shared" si="55"/>
        <v>-6183</v>
      </c>
      <c r="O276" s="357"/>
      <c r="P276" s="318">
        <f>Données!AA276</f>
        <v>85</v>
      </c>
      <c r="Q276" s="359">
        <f>Données!AB276</f>
        <v>17</v>
      </c>
      <c r="R276" s="302">
        <f t="shared" si="56"/>
        <v>87.55</v>
      </c>
      <c r="S276" s="364">
        <f t="shared" si="57"/>
        <v>8.3940556088207094E-2</v>
      </c>
      <c r="T276" s="344">
        <f t="shared" si="58"/>
        <v>142.28927940318945</v>
      </c>
      <c r="U276" s="344">
        <f t="shared" si="61"/>
        <v>0</v>
      </c>
      <c r="V276" s="362">
        <f t="shared" si="62"/>
        <v>0</v>
      </c>
      <c r="W276" s="436"/>
      <c r="X276" s="302">
        <f t="shared" si="63"/>
        <v>0</v>
      </c>
      <c r="Y276" s="322">
        <f t="shared" si="64"/>
        <v>0</v>
      </c>
    </row>
    <row r="277" spans="1:25" x14ac:dyDescent="0.25">
      <c r="A277" s="148">
        <f>Données!A277</f>
        <v>5892</v>
      </c>
      <c r="B277" s="156" t="str">
        <f>Données!B277</f>
        <v>Blonay-Saint-Légier</v>
      </c>
      <c r="C277" s="321">
        <f>Données!C277</f>
        <v>12463</v>
      </c>
      <c r="D277" s="336"/>
      <c r="E277" s="318">
        <f>Données!X277</f>
        <v>3067</v>
      </c>
      <c r="F277" s="361">
        <f t="shared" si="52"/>
        <v>0.24608842172831583</v>
      </c>
      <c r="G277" s="336">
        <f t="shared" si="53"/>
        <v>9734.7001302431199</v>
      </c>
      <c r="H277" s="344">
        <f t="shared" si="59"/>
        <v>0</v>
      </c>
      <c r="I277" s="362">
        <f t="shared" si="60"/>
        <v>0</v>
      </c>
      <c r="J277" s="357"/>
      <c r="K277" s="363">
        <f>Données!Y277</f>
        <v>819</v>
      </c>
      <c r="L277" s="324">
        <f>Données!Z277</f>
        <v>0.434</v>
      </c>
      <c r="M277" s="336">
        <f t="shared" si="54"/>
        <v>253.81058358061327</v>
      </c>
      <c r="N277" s="362">
        <f t="shared" si="55"/>
        <v>-207871</v>
      </c>
      <c r="O277" s="357"/>
      <c r="P277" s="318">
        <f>Données!AA277</f>
        <v>1352</v>
      </c>
      <c r="Q277" s="359">
        <f>Données!AB277</f>
        <v>115</v>
      </c>
      <c r="R277" s="302">
        <f t="shared" si="56"/>
        <v>1369.25</v>
      </c>
      <c r="S277" s="364">
        <f t="shared" si="57"/>
        <v>0.10986520099494504</v>
      </c>
      <c r="T277" s="344">
        <f t="shared" si="58"/>
        <v>1700.2409292444393</v>
      </c>
      <c r="U277" s="344">
        <f t="shared" si="61"/>
        <v>0</v>
      </c>
      <c r="V277" s="362">
        <f t="shared" si="62"/>
        <v>0</v>
      </c>
      <c r="W277" s="436"/>
      <c r="X277" s="302">
        <f t="shared" si="63"/>
        <v>0</v>
      </c>
      <c r="Y277" s="322">
        <f t="shared" si="64"/>
        <v>0</v>
      </c>
    </row>
    <row r="278" spans="1:25" x14ac:dyDescent="0.25">
      <c r="A278" s="148">
        <f>Données!A278</f>
        <v>5902</v>
      </c>
      <c r="B278" s="156" t="str">
        <f>Données!B278</f>
        <v>Belmont-sur-Yverdon</v>
      </c>
      <c r="C278" s="321">
        <f>Données!C278</f>
        <v>445</v>
      </c>
      <c r="D278" s="336"/>
      <c r="E278" s="318">
        <f>Données!X278</f>
        <v>646</v>
      </c>
      <c r="F278" s="361">
        <f t="shared" si="52"/>
        <v>1.451685393258427</v>
      </c>
      <c r="G278" s="336">
        <f t="shared" si="53"/>
        <v>347.58417379107664</v>
      </c>
      <c r="H278" s="344">
        <f t="shared" si="59"/>
        <v>298.41582620892336</v>
      </c>
      <c r="I278" s="362">
        <f t="shared" si="60"/>
        <v>-31731</v>
      </c>
      <c r="J278" s="357"/>
      <c r="K278" s="363">
        <f>Données!Y278</f>
        <v>0</v>
      </c>
      <c r="L278" s="324">
        <f>Données!Z278</f>
        <v>7.5999999999999998E-2</v>
      </c>
      <c r="M278" s="336">
        <f t="shared" si="54"/>
        <v>44.446092977250252</v>
      </c>
      <c r="N278" s="362">
        <f t="shared" si="55"/>
        <v>0</v>
      </c>
      <c r="O278" s="357"/>
      <c r="P278" s="318">
        <f>Données!AA278</f>
        <v>59</v>
      </c>
      <c r="Q278" s="359">
        <f>Données!AB278</f>
        <v>58</v>
      </c>
      <c r="R278" s="302">
        <f t="shared" si="56"/>
        <v>67.7</v>
      </c>
      <c r="S278" s="364">
        <f t="shared" si="57"/>
        <v>0.15213483146067416</v>
      </c>
      <c r="T278" s="344">
        <f t="shared" si="58"/>
        <v>60.708273570871818</v>
      </c>
      <c r="U278" s="344">
        <f t="shared" si="61"/>
        <v>6.9917264291281853</v>
      </c>
      <c r="V278" s="362">
        <f t="shared" si="62"/>
        <v>-29737</v>
      </c>
      <c r="W278" s="436"/>
      <c r="X278" s="302">
        <f t="shared" si="63"/>
        <v>-29737</v>
      </c>
      <c r="Y278" s="322">
        <f t="shared" si="64"/>
        <v>0</v>
      </c>
    </row>
    <row r="279" spans="1:25" x14ac:dyDescent="0.25">
      <c r="A279" s="148">
        <f>Données!A279</f>
        <v>5903</v>
      </c>
      <c r="B279" s="156" t="str">
        <f>Données!B279</f>
        <v>Bioley-Magnoux</v>
      </c>
      <c r="C279" s="321">
        <f>Données!C279</f>
        <v>257</v>
      </c>
      <c r="D279" s="336"/>
      <c r="E279" s="318">
        <f>Données!X279</f>
        <v>426</v>
      </c>
      <c r="F279" s="361">
        <f t="shared" si="52"/>
        <v>1.6575875486381324</v>
      </c>
      <c r="G279" s="336">
        <f t="shared" si="53"/>
        <v>200.73962396473416</v>
      </c>
      <c r="H279" s="344">
        <f t="shared" si="59"/>
        <v>225.26037603526584</v>
      </c>
      <c r="I279" s="362">
        <f t="shared" si="60"/>
        <v>-23952</v>
      </c>
      <c r="J279" s="357"/>
      <c r="K279" s="363">
        <f>Données!Y279</f>
        <v>0</v>
      </c>
      <c r="L279" s="324">
        <f>Données!Z279</f>
        <v>0.14199999999999999</v>
      </c>
      <c r="M279" s="336">
        <f t="shared" si="54"/>
        <v>83.04401582591494</v>
      </c>
      <c r="N279" s="362">
        <f t="shared" si="55"/>
        <v>0</v>
      </c>
      <c r="O279" s="357"/>
      <c r="P279" s="318">
        <f>Données!AA279</f>
        <v>41</v>
      </c>
      <c r="Q279" s="359">
        <f>Données!AB279</f>
        <v>41</v>
      </c>
      <c r="R279" s="302">
        <f t="shared" si="56"/>
        <v>47.15</v>
      </c>
      <c r="S279" s="364">
        <f t="shared" si="57"/>
        <v>0.18346303501945524</v>
      </c>
      <c r="T279" s="344">
        <f t="shared" si="58"/>
        <v>35.060733275761926</v>
      </c>
      <c r="U279" s="344">
        <f t="shared" si="61"/>
        <v>12.089266724238072</v>
      </c>
      <c r="V279" s="362">
        <f t="shared" si="62"/>
        <v>-51418</v>
      </c>
      <c r="W279" s="436"/>
      <c r="X279" s="302">
        <f t="shared" si="63"/>
        <v>-26157.270029673586</v>
      </c>
      <c r="Y279" s="322">
        <f t="shared" si="64"/>
        <v>-25260.729970326414</v>
      </c>
    </row>
    <row r="280" spans="1:25" x14ac:dyDescent="0.25">
      <c r="A280" s="148">
        <f>Données!A280</f>
        <v>5904</v>
      </c>
      <c r="B280" s="156" t="str">
        <f>Données!B280</f>
        <v>Chamblon</v>
      </c>
      <c r="C280" s="321">
        <f>Données!C280</f>
        <v>554</v>
      </c>
      <c r="D280" s="336"/>
      <c r="E280" s="318">
        <f>Données!X280</f>
        <v>283</v>
      </c>
      <c r="F280" s="361">
        <f t="shared" si="52"/>
        <v>0.51083032490974734</v>
      </c>
      <c r="G280" s="336">
        <f t="shared" si="53"/>
        <v>432.72276916911568</v>
      </c>
      <c r="H280" s="344">
        <f t="shared" si="59"/>
        <v>0</v>
      </c>
      <c r="I280" s="362">
        <f t="shared" si="60"/>
        <v>0</v>
      </c>
      <c r="J280" s="357"/>
      <c r="K280" s="363">
        <f>Données!Y280</f>
        <v>0</v>
      </c>
      <c r="L280" s="324">
        <f>Données!Z280</f>
        <v>0.10199999999999999</v>
      </c>
      <c r="M280" s="336">
        <f t="shared" si="54"/>
        <v>59.651335311572701</v>
      </c>
      <c r="N280" s="362">
        <f t="shared" si="55"/>
        <v>0</v>
      </c>
      <c r="O280" s="357"/>
      <c r="P280" s="318">
        <f>Données!AA280</f>
        <v>62</v>
      </c>
      <c r="Q280" s="359">
        <f>Données!AB280</f>
        <v>21</v>
      </c>
      <c r="R280" s="302">
        <f t="shared" si="56"/>
        <v>65.150000000000006</v>
      </c>
      <c r="S280" s="364">
        <f t="shared" si="57"/>
        <v>0.11759927797833936</v>
      </c>
      <c r="T280" s="344">
        <f t="shared" si="58"/>
        <v>75.578390018568513</v>
      </c>
      <c r="U280" s="344">
        <f t="shared" si="61"/>
        <v>0</v>
      </c>
      <c r="V280" s="362">
        <f t="shared" si="62"/>
        <v>0</v>
      </c>
      <c r="W280" s="436"/>
      <c r="X280" s="302">
        <f t="shared" si="63"/>
        <v>0</v>
      </c>
      <c r="Y280" s="322">
        <f t="shared" si="64"/>
        <v>0</v>
      </c>
    </row>
    <row r="281" spans="1:25" x14ac:dyDescent="0.25">
      <c r="A281" s="148">
        <f>Données!A281</f>
        <v>5905</v>
      </c>
      <c r="B281" s="156" t="str">
        <f>Données!B281</f>
        <v>Champvent</v>
      </c>
      <c r="C281" s="321">
        <f>Données!C281</f>
        <v>725</v>
      </c>
      <c r="D281" s="336"/>
      <c r="E281" s="318">
        <f>Données!X281</f>
        <v>897</v>
      </c>
      <c r="F281" s="361">
        <f t="shared" si="52"/>
        <v>1.2372413793103447</v>
      </c>
      <c r="G281" s="336">
        <f t="shared" si="53"/>
        <v>566.28882246860803</v>
      </c>
      <c r="H281" s="344">
        <f t="shared" si="59"/>
        <v>330.71117753139197</v>
      </c>
      <c r="I281" s="362">
        <f t="shared" si="60"/>
        <v>-35165</v>
      </c>
      <c r="J281" s="357"/>
      <c r="K281" s="363">
        <f>Données!Y281</f>
        <v>0</v>
      </c>
      <c r="L281" s="324">
        <f>Données!Z281</f>
        <v>4.5999999999999999E-2</v>
      </c>
      <c r="M281" s="336">
        <f t="shared" si="54"/>
        <v>26.901582591493572</v>
      </c>
      <c r="N281" s="362">
        <f t="shared" si="55"/>
        <v>0</v>
      </c>
      <c r="O281" s="357"/>
      <c r="P281" s="318">
        <f>Données!AA281</f>
        <v>108</v>
      </c>
      <c r="Q281" s="359">
        <f>Données!AB281</f>
        <v>72</v>
      </c>
      <c r="R281" s="302">
        <f t="shared" si="56"/>
        <v>118.8</v>
      </c>
      <c r="S281" s="364">
        <f t="shared" si="57"/>
        <v>0.16386206896551725</v>
      </c>
      <c r="T281" s="344">
        <f t="shared" si="58"/>
        <v>98.906737840184419</v>
      </c>
      <c r="U281" s="344">
        <f t="shared" si="61"/>
        <v>19.893262159815578</v>
      </c>
      <c r="V281" s="362">
        <f t="shared" si="62"/>
        <v>-84610</v>
      </c>
      <c r="W281" s="436"/>
      <c r="X281" s="302">
        <f t="shared" si="63"/>
        <v>-45934.718100890197</v>
      </c>
      <c r="Y281" s="322">
        <f t="shared" si="64"/>
        <v>-38675.281899109803</v>
      </c>
    </row>
    <row r="282" spans="1:25" x14ac:dyDescent="0.25">
      <c r="A282" s="148">
        <f>Données!A282</f>
        <v>5907</v>
      </c>
      <c r="B282" s="156" t="str">
        <f>Données!B282</f>
        <v>Chavannes-le-Chêne</v>
      </c>
      <c r="C282" s="321">
        <f>Données!C282</f>
        <v>322</v>
      </c>
      <c r="D282" s="336"/>
      <c r="E282" s="318">
        <f>Données!X282</f>
        <v>397</v>
      </c>
      <c r="F282" s="361">
        <f t="shared" si="52"/>
        <v>1.2329192546583851</v>
      </c>
      <c r="G282" s="336">
        <f t="shared" si="53"/>
        <v>251.51034597916109</v>
      </c>
      <c r="H282" s="344">
        <f t="shared" si="59"/>
        <v>145.48965402083891</v>
      </c>
      <c r="I282" s="362">
        <f t="shared" si="60"/>
        <v>-15470</v>
      </c>
      <c r="J282" s="357"/>
      <c r="K282" s="363">
        <f>Données!Y282</f>
        <v>0</v>
      </c>
      <c r="L282" s="324">
        <f>Données!Z282</f>
        <v>3.9E-2</v>
      </c>
      <c r="M282" s="336">
        <f t="shared" si="54"/>
        <v>22.807863501483681</v>
      </c>
      <c r="N282" s="362">
        <f t="shared" si="55"/>
        <v>0</v>
      </c>
      <c r="O282" s="357"/>
      <c r="P282" s="318">
        <f>Données!AA282</f>
        <v>35</v>
      </c>
      <c r="Q282" s="359">
        <f>Données!AB282</f>
        <v>35</v>
      </c>
      <c r="R282" s="302">
        <f t="shared" si="56"/>
        <v>40.25</v>
      </c>
      <c r="S282" s="364">
        <f t="shared" si="57"/>
        <v>0.125</v>
      </c>
      <c r="T282" s="344">
        <f t="shared" si="58"/>
        <v>43.92823390970949</v>
      </c>
      <c r="U282" s="344">
        <f t="shared" si="61"/>
        <v>0</v>
      </c>
      <c r="V282" s="362">
        <f t="shared" si="62"/>
        <v>0</v>
      </c>
      <c r="W282" s="436"/>
      <c r="X282" s="302">
        <f t="shared" si="63"/>
        <v>0</v>
      </c>
      <c r="Y282" s="322">
        <f t="shared" si="64"/>
        <v>0</v>
      </c>
    </row>
    <row r="283" spans="1:25" x14ac:dyDescent="0.25">
      <c r="A283" s="148">
        <f>Données!A283</f>
        <v>5908</v>
      </c>
      <c r="B283" s="156" t="str">
        <f>Données!B283</f>
        <v>Chêne-Pâquier</v>
      </c>
      <c r="C283" s="321">
        <f>Données!C283</f>
        <v>173</v>
      </c>
      <c r="D283" s="336"/>
      <c r="E283" s="318">
        <f>Données!X283</f>
        <v>206</v>
      </c>
      <c r="F283" s="361">
        <f t="shared" si="52"/>
        <v>1.1907514450867052</v>
      </c>
      <c r="G283" s="336">
        <f t="shared" si="53"/>
        <v>135.12822936147475</v>
      </c>
      <c r="H283" s="344">
        <f t="shared" si="59"/>
        <v>70.871770638525248</v>
      </c>
      <c r="I283" s="362">
        <f t="shared" si="60"/>
        <v>-7536</v>
      </c>
      <c r="J283" s="357"/>
      <c r="K283" s="363">
        <f>Données!Y283</f>
        <v>0</v>
      </c>
      <c r="L283" s="324">
        <f>Données!Z283</f>
        <v>9.5000000000000001E-2</v>
      </c>
      <c r="M283" s="336">
        <f t="shared" si="54"/>
        <v>55.55761622156281</v>
      </c>
      <c r="N283" s="362">
        <f t="shared" si="55"/>
        <v>0</v>
      </c>
      <c r="O283" s="357"/>
      <c r="P283" s="318">
        <f>Données!AA283</f>
        <v>29</v>
      </c>
      <c r="Q283" s="359">
        <f>Données!AB283</f>
        <v>29</v>
      </c>
      <c r="R283" s="302">
        <f t="shared" si="56"/>
        <v>33.35</v>
      </c>
      <c r="S283" s="364">
        <f t="shared" si="57"/>
        <v>0.19277456647398844</v>
      </c>
      <c r="T283" s="344">
        <f t="shared" si="58"/>
        <v>23.601193994968146</v>
      </c>
      <c r="U283" s="344">
        <f t="shared" si="61"/>
        <v>9.7488060050318559</v>
      </c>
      <c r="V283" s="362">
        <f t="shared" si="62"/>
        <v>-41464</v>
      </c>
      <c r="W283" s="436"/>
      <c r="X283" s="302">
        <f t="shared" si="63"/>
        <v>-18501.483679525219</v>
      </c>
      <c r="Y283" s="322">
        <f t="shared" si="64"/>
        <v>-22962.516320474781</v>
      </c>
    </row>
    <row r="284" spans="1:25" x14ac:dyDescent="0.25">
      <c r="A284" s="148">
        <f>Données!A284</f>
        <v>5909</v>
      </c>
      <c r="B284" s="156" t="str">
        <f>Données!B284</f>
        <v>Cheseaux-Noréaz</v>
      </c>
      <c r="C284" s="321">
        <f>Données!C284</f>
        <v>734</v>
      </c>
      <c r="D284" s="336"/>
      <c r="E284" s="318">
        <f>Données!X284</f>
        <v>541</v>
      </c>
      <c r="F284" s="361">
        <f t="shared" si="52"/>
        <v>0.73705722070844681</v>
      </c>
      <c r="G284" s="336">
        <f t="shared" si="53"/>
        <v>573.31861474752873</v>
      </c>
      <c r="H284" s="344">
        <f t="shared" si="59"/>
        <v>0</v>
      </c>
      <c r="I284" s="362">
        <f t="shared" si="60"/>
        <v>0</v>
      </c>
      <c r="J284" s="357"/>
      <c r="K284" s="363">
        <f>Données!Y284</f>
        <v>0</v>
      </c>
      <c r="L284" s="324">
        <f>Données!Z284</f>
        <v>7.8E-2</v>
      </c>
      <c r="M284" s="336">
        <f t="shared" si="54"/>
        <v>45.615727002967361</v>
      </c>
      <c r="N284" s="362">
        <f t="shared" si="55"/>
        <v>0</v>
      </c>
      <c r="O284" s="357"/>
      <c r="P284" s="318">
        <f>Données!AA284</f>
        <v>88</v>
      </c>
      <c r="Q284" s="359">
        <f>Données!AB284</f>
        <v>50</v>
      </c>
      <c r="R284" s="302">
        <f t="shared" si="56"/>
        <v>95.5</v>
      </c>
      <c r="S284" s="364">
        <f t="shared" si="57"/>
        <v>0.13010899182561309</v>
      </c>
      <c r="T284" s="344">
        <f t="shared" si="58"/>
        <v>100.13454562026946</v>
      </c>
      <c r="U284" s="344">
        <f t="shared" si="61"/>
        <v>0</v>
      </c>
      <c r="V284" s="362">
        <f t="shared" si="62"/>
        <v>0</v>
      </c>
      <c r="W284" s="436"/>
      <c r="X284" s="302">
        <f t="shared" si="63"/>
        <v>0</v>
      </c>
      <c r="Y284" s="322">
        <f t="shared" si="64"/>
        <v>0</v>
      </c>
    </row>
    <row r="285" spans="1:25" x14ac:dyDescent="0.25">
      <c r="A285" s="148">
        <f>Données!A285</f>
        <v>5910</v>
      </c>
      <c r="B285" s="156" t="str">
        <f>Données!B285</f>
        <v>Cronay</v>
      </c>
      <c r="C285" s="321">
        <f>Données!C285</f>
        <v>425</v>
      </c>
      <c r="D285" s="336"/>
      <c r="E285" s="318">
        <f>Données!X285</f>
        <v>655</v>
      </c>
      <c r="F285" s="361">
        <f t="shared" si="52"/>
        <v>1.5411764705882354</v>
      </c>
      <c r="G285" s="336">
        <f t="shared" si="53"/>
        <v>331.96241317125299</v>
      </c>
      <c r="H285" s="344">
        <f t="shared" si="59"/>
        <v>323.03758682874701</v>
      </c>
      <c r="I285" s="362">
        <f t="shared" si="60"/>
        <v>-34349</v>
      </c>
      <c r="J285" s="357"/>
      <c r="K285" s="363">
        <f>Données!Y285</f>
        <v>0</v>
      </c>
      <c r="L285" s="324">
        <f>Données!Z285</f>
        <v>0.16300000000000001</v>
      </c>
      <c r="M285" s="336">
        <f t="shared" si="54"/>
        <v>95.325173095944621</v>
      </c>
      <c r="N285" s="362">
        <f t="shared" si="55"/>
        <v>0</v>
      </c>
      <c r="O285" s="357"/>
      <c r="P285" s="318">
        <f>Données!AA285</f>
        <v>62</v>
      </c>
      <c r="Q285" s="359">
        <f>Données!AB285</f>
        <v>34</v>
      </c>
      <c r="R285" s="302">
        <f t="shared" si="56"/>
        <v>67.099999999999994</v>
      </c>
      <c r="S285" s="364">
        <f t="shared" si="57"/>
        <v>0.15788235294117645</v>
      </c>
      <c r="T285" s="344">
        <f t="shared" si="58"/>
        <v>57.979811837349487</v>
      </c>
      <c r="U285" s="344">
        <f t="shared" si="61"/>
        <v>9.120188162650507</v>
      </c>
      <c r="V285" s="362">
        <f t="shared" si="62"/>
        <v>-38790</v>
      </c>
      <c r="W285" s="436"/>
      <c r="X285" s="302">
        <f t="shared" si="63"/>
        <v>-21691.394658753707</v>
      </c>
      <c r="Y285" s="322">
        <f t="shared" si="64"/>
        <v>-17098.605341246293</v>
      </c>
    </row>
    <row r="286" spans="1:25" x14ac:dyDescent="0.25">
      <c r="A286" s="148">
        <f>Données!A286</f>
        <v>5911</v>
      </c>
      <c r="B286" s="156" t="str">
        <f>Données!B286</f>
        <v>Cuarny</v>
      </c>
      <c r="C286" s="321">
        <f>Données!C286</f>
        <v>241</v>
      </c>
      <c r="D286" s="336"/>
      <c r="E286" s="318">
        <f>Données!X286</f>
        <v>460</v>
      </c>
      <c r="F286" s="361">
        <f t="shared" si="52"/>
        <v>1.9087136929460582</v>
      </c>
      <c r="G286" s="336">
        <f t="shared" si="53"/>
        <v>188.24221546887523</v>
      </c>
      <c r="H286" s="344">
        <f t="shared" si="59"/>
        <v>271.7577845311248</v>
      </c>
      <c r="I286" s="362">
        <f t="shared" si="60"/>
        <v>-28896</v>
      </c>
      <c r="J286" s="357"/>
      <c r="K286" s="363">
        <f>Données!Y286</f>
        <v>0</v>
      </c>
      <c r="L286" s="324">
        <f>Données!Z286</f>
        <v>0.13100000000000001</v>
      </c>
      <c r="M286" s="336">
        <f t="shared" si="54"/>
        <v>76.611028684470824</v>
      </c>
      <c r="N286" s="362">
        <f t="shared" si="55"/>
        <v>0</v>
      </c>
      <c r="O286" s="357"/>
      <c r="P286" s="318">
        <f>Données!AA286</f>
        <v>30</v>
      </c>
      <c r="Q286" s="359">
        <f>Données!AB286</f>
        <v>23</v>
      </c>
      <c r="R286" s="302">
        <f t="shared" si="56"/>
        <v>33.450000000000003</v>
      </c>
      <c r="S286" s="364">
        <f t="shared" si="57"/>
        <v>0.13879668049792532</v>
      </c>
      <c r="T286" s="344">
        <f t="shared" si="58"/>
        <v>32.877963888944059</v>
      </c>
      <c r="U286" s="344">
        <f t="shared" si="61"/>
        <v>0.57203611105594376</v>
      </c>
      <c r="V286" s="362">
        <f t="shared" si="62"/>
        <v>-2433</v>
      </c>
      <c r="W286" s="436"/>
      <c r="X286" s="302">
        <f t="shared" si="63"/>
        <v>-2433</v>
      </c>
      <c r="Y286" s="322">
        <f t="shared" si="64"/>
        <v>0</v>
      </c>
    </row>
    <row r="287" spans="1:25" x14ac:dyDescent="0.25">
      <c r="A287" s="148">
        <f>Données!A287</f>
        <v>5912</v>
      </c>
      <c r="B287" s="156" t="str">
        <f>Données!B287</f>
        <v>Démoret</v>
      </c>
      <c r="C287" s="321">
        <f>Données!C287</f>
        <v>172</v>
      </c>
      <c r="D287" s="336"/>
      <c r="E287" s="318">
        <f>Données!X287</f>
        <v>429</v>
      </c>
      <c r="F287" s="361">
        <f t="shared" si="52"/>
        <v>2.4941860465116279</v>
      </c>
      <c r="G287" s="336">
        <f t="shared" si="53"/>
        <v>134.34714133048357</v>
      </c>
      <c r="H287" s="344">
        <f t="shared" si="59"/>
        <v>294.65285866951643</v>
      </c>
      <c r="I287" s="362">
        <f t="shared" si="60"/>
        <v>-31331</v>
      </c>
      <c r="J287" s="357"/>
      <c r="K287" s="363">
        <f>Données!Y287</f>
        <v>127</v>
      </c>
      <c r="L287" s="324">
        <f>Données!Z287</f>
        <v>1.7999999999999999E-2</v>
      </c>
      <c r="M287" s="336">
        <f t="shared" si="54"/>
        <v>10.526706231454005</v>
      </c>
      <c r="N287" s="362">
        <f t="shared" si="55"/>
        <v>-1337</v>
      </c>
      <c r="O287" s="357"/>
      <c r="P287" s="318">
        <f>Données!AA287</f>
        <v>26</v>
      </c>
      <c r="Q287" s="359">
        <f>Données!AB287</f>
        <v>26</v>
      </c>
      <c r="R287" s="302">
        <f t="shared" si="56"/>
        <v>29.9</v>
      </c>
      <c r="S287" s="364">
        <f t="shared" si="57"/>
        <v>0.17383720930232557</v>
      </c>
      <c r="T287" s="344">
        <f t="shared" si="58"/>
        <v>23.464770908292028</v>
      </c>
      <c r="U287" s="344">
        <f t="shared" si="61"/>
        <v>6.4352290917079706</v>
      </c>
      <c r="V287" s="362">
        <f t="shared" si="62"/>
        <v>-27370</v>
      </c>
      <c r="W287" s="436"/>
      <c r="X287" s="302">
        <f t="shared" si="63"/>
        <v>-16587.537091988128</v>
      </c>
      <c r="Y287" s="322">
        <f t="shared" si="64"/>
        <v>-10782.462908011872</v>
      </c>
    </row>
    <row r="288" spans="1:25" x14ac:dyDescent="0.25">
      <c r="A288" s="148">
        <f>Données!A288</f>
        <v>5913</v>
      </c>
      <c r="B288" s="156" t="str">
        <f>Données!B288</f>
        <v>Donneloye</v>
      </c>
      <c r="C288" s="321">
        <f>Données!C288</f>
        <v>917</v>
      </c>
      <c r="D288" s="336"/>
      <c r="E288" s="318">
        <f>Données!X288</f>
        <v>893</v>
      </c>
      <c r="F288" s="361">
        <f t="shared" si="52"/>
        <v>0.97382769901853872</v>
      </c>
      <c r="G288" s="336">
        <f t="shared" si="53"/>
        <v>716.25772441891525</v>
      </c>
      <c r="H288" s="344">
        <f t="shared" si="59"/>
        <v>176.74227558108475</v>
      </c>
      <c r="I288" s="362">
        <f t="shared" si="60"/>
        <v>-18793</v>
      </c>
      <c r="J288" s="357"/>
      <c r="K288" s="363">
        <f>Données!Y288</f>
        <v>0</v>
      </c>
      <c r="L288" s="324">
        <f>Données!Z288</f>
        <v>0.11899999999999999</v>
      </c>
      <c r="M288" s="336">
        <f t="shared" si="54"/>
        <v>69.593224530168158</v>
      </c>
      <c r="N288" s="362">
        <f t="shared" si="55"/>
        <v>0</v>
      </c>
      <c r="O288" s="357"/>
      <c r="P288" s="318">
        <f>Données!AA288</f>
        <v>124</v>
      </c>
      <c r="Q288" s="359">
        <f>Données!AB288</f>
        <v>124</v>
      </c>
      <c r="R288" s="302">
        <f t="shared" si="56"/>
        <v>142.6</v>
      </c>
      <c r="S288" s="364">
        <f t="shared" si="57"/>
        <v>0.1555070883315158</v>
      </c>
      <c r="T288" s="344">
        <f t="shared" si="58"/>
        <v>125.09997048199878</v>
      </c>
      <c r="U288" s="344">
        <f t="shared" si="61"/>
        <v>17.500029518001213</v>
      </c>
      <c r="V288" s="362">
        <f t="shared" si="62"/>
        <v>-74431</v>
      </c>
      <c r="W288" s="436"/>
      <c r="X288" s="302">
        <f t="shared" si="63"/>
        <v>-74431</v>
      </c>
      <c r="Y288" s="322">
        <f t="shared" si="64"/>
        <v>0</v>
      </c>
    </row>
    <row r="289" spans="1:25" x14ac:dyDescent="0.25">
      <c r="A289" s="148">
        <f>Données!A289</f>
        <v>5914</v>
      </c>
      <c r="B289" s="156" t="str">
        <f>Données!B289</f>
        <v>Ependes</v>
      </c>
      <c r="C289" s="321">
        <f>Données!C289</f>
        <v>381</v>
      </c>
      <c r="D289" s="336"/>
      <c r="E289" s="318">
        <f>Données!X289</f>
        <v>469</v>
      </c>
      <c r="F289" s="361">
        <f t="shared" si="52"/>
        <v>1.230971128608924</v>
      </c>
      <c r="G289" s="336">
        <f t="shared" si="53"/>
        <v>297.5945398076409</v>
      </c>
      <c r="H289" s="344">
        <f t="shared" si="59"/>
        <v>171.4054601923591</v>
      </c>
      <c r="I289" s="362">
        <f t="shared" si="60"/>
        <v>-18226</v>
      </c>
      <c r="J289" s="357"/>
      <c r="K289" s="363">
        <f>Données!Y289</f>
        <v>0</v>
      </c>
      <c r="L289" s="324">
        <f>Données!Z289</f>
        <v>0.08</v>
      </c>
      <c r="M289" s="336">
        <f t="shared" si="54"/>
        <v>46.785361028684477</v>
      </c>
      <c r="N289" s="362">
        <f t="shared" si="55"/>
        <v>0</v>
      </c>
      <c r="O289" s="357"/>
      <c r="P289" s="318">
        <f>Données!AA289</f>
        <v>55</v>
      </c>
      <c r="Q289" s="359">
        <f>Données!AB289</f>
        <v>25</v>
      </c>
      <c r="R289" s="302">
        <f t="shared" si="56"/>
        <v>58.75</v>
      </c>
      <c r="S289" s="364">
        <f t="shared" si="57"/>
        <v>0.15419947506561679</v>
      </c>
      <c r="T289" s="344">
        <f t="shared" si="58"/>
        <v>51.977196023600364</v>
      </c>
      <c r="U289" s="344">
        <f t="shared" si="61"/>
        <v>6.7728039763996364</v>
      </c>
      <c r="V289" s="362">
        <f t="shared" si="62"/>
        <v>-28806</v>
      </c>
      <c r="W289" s="436"/>
      <c r="X289" s="302">
        <f t="shared" si="63"/>
        <v>-15949.554896142432</v>
      </c>
      <c r="Y289" s="322">
        <f t="shared" si="64"/>
        <v>-12856.445103857568</v>
      </c>
    </row>
    <row r="290" spans="1:25" x14ac:dyDescent="0.25">
      <c r="A290" s="148">
        <f>Données!A290</f>
        <v>5919</v>
      </c>
      <c r="B290" s="156" t="str">
        <f>Données!B290</f>
        <v>Mathod</v>
      </c>
      <c r="C290" s="321">
        <f>Données!C290</f>
        <v>725</v>
      </c>
      <c r="D290" s="336"/>
      <c r="E290" s="318">
        <f>Données!X290</f>
        <v>648</v>
      </c>
      <c r="F290" s="361">
        <f t="shared" si="52"/>
        <v>0.89379310344827589</v>
      </c>
      <c r="G290" s="336">
        <f t="shared" si="53"/>
        <v>566.28882246860803</v>
      </c>
      <c r="H290" s="344">
        <f t="shared" si="59"/>
        <v>81.711177531391968</v>
      </c>
      <c r="I290" s="362">
        <f t="shared" si="60"/>
        <v>-8688</v>
      </c>
      <c r="J290" s="357"/>
      <c r="K290" s="363">
        <f>Données!Y290</f>
        <v>0</v>
      </c>
      <c r="L290" s="324">
        <f>Données!Z290</f>
        <v>2.5000000000000001E-2</v>
      </c>
      <c r="M290" s="336">
        <f t="shared" si="54"/>
        <v>14.620425321463898</v>
      </c>
      <c r="N290" s="362">
        <f t="shared" si="55"/>
        <v>0</v>
      </c>
      <c r="O290" s="357"/>
      <c r="P290" s="318">
        <f>Données!AA290</f>
        <v>72</v>
      </c>
      <c r="Q290" s="359">
        <f>Données!AB290</f>
        <v>72</v>
      </c>
      <c r="R290" s="302">
        <f t="shared" si="56"/>
        <v>82.8</v>
      </c>
      <c r="S290" s="364">
        <f t="shared" si="57"/>
        <v>0.11420689655172414</v>
      </c>
      <c r="T290" s="344">
        <f t="shared" si="58"/>
        <v>98.906737840184419</v>
      </c>
      <c r="U290" s="344">
        <f t="shared" si="61"/>
        <v>0</v>
      </c>
      <c r="V290" s="362">
        <f t="shared" si="62"/>
        <v>0</v>
      </c>
      <c r="W290" s="436"/>
      <c r="X290" s="302">
        <f t="shared" si="63"/>
        <v>0</v>
      </c>
      <c r="Y290" s="322">
        <f t="shared" si="64"/>
        <v>0</v>
      </c>
    </row>
    <row r="291" spans="1:25" x14ac:dyDescent="0.25">
      <c r="A291" s="148">
        <f>Données!A291</f>
        <v>5921</v>
      </c>
      <c r="B291" s="156" t="str">
        <f>Données!B291</f>
        <v>Molondin</v>
      </c>
      <c r="C291" s="321">
        <f>Données!C291</f>
        <v>269</v>
      </c>
      <c r="D291" s="336"/>
      <c r="E291" s="318">
        <f>Données!X291</f>
        <v>552</v>
      </c>
      <c r="F291" s="361">
        <f t="shared" si="52"/>
        <v>2.0520446096654275</v>
      </c>
      <c r="G291" s="336">
        <f t="shared" si="53"/>
        <v>210.11268033662836</v>
      </c>
      <c r="H291" s="344">
        <f t="shared" si="59"/>
        <v>341.88731966337161</v>
      </c>
      <c r="I291" s="362">
        <f t="shared" si="60"/>
        <v>-36353</v>
      </c>
      <c r="J291" s="357"/>
      <c r="K291" s="363">
        <f>Données!Y291</f>
        <v>0</v>
      </c>
      <c r="L291" s="324">
        <f>Données!Z291</f>
        <v>0.13900000000000001</v>
      </c>
      <c r="M291" s="336">
        <f t="shared" si="54"/>
        <v>81.289564787339287</v>
      </c>
      <c r="N291" s="362">
        <f t="shared" si="55"/>
        <v>0</v>
      </c>
      <c r="O291" s="357"/>
      <c r="P291" s="318">
        <f>Données!AA291</f>
        <v>43</v>
      </c>
      <c r="Q291" s="359">
        <f>Données!AB291</f>
        <v>43</v>
      </c>
      <c r="R291" s="302">
        <f t="shared" si="56"/>
        <v>49.45</v>
      </c>
      <c r="S291" s="364">
        <f t="shared" si="57"/>
        <v>0.18382899628252788</v>
      </c>
      <c r="T291" s="344">
        <f t="shared" si="58"/>
        <v>36.697810315875323</v>
      </c>
      <c r="U291" s="344">
        <f t="shared" si="61"/>
        <v>12.75218968412468</v>
      </c>
      <c r="V291" s="362">
        <f t="shared" si="62"/>
        <v>-54238</v>
      </c>
      <c r="W291" s="436"/>
      <c r="X291" s="302">
        <f t="shared" si="63"/>
        <v>-27433.234421364985</v>
      </c>
      <c r="Y291" s="322">
        <f t="shared" si="64"/>
        <v>-26804.765578635015</v>
      </c>
    </row>
    <row r="292" spans="1:25" x14ac:dyDescent="0.25">
      <c r="A292" s="148">
        <f>Données!A292</f>
        <v>5922</v>
      </c>
      <c r="B292" s="156" t="str">
        <f>Données!B292</f>
        <v>Montagny-près-Yverdon</v>
      </c>
      <c r="C292" s="321">
        <f>Données!C292</f>
        <v>783</v>
      </c>
      <c r="D292" s="336"/>
      <c r="E292" s="318">
        <f>Données!X292</f>
        <v>348</v>
      </c>
      <c r="F292" s="361">
        <f t="shared" si="52"/>
        <v>0.44444444444444442</v>
      </c>
      <c r="G292" s="336">
        <f t="shared" si="53"/>
        <v>611.59192826609672</v>
      </c>
      <c r="H292" s="344">
        <f t="shared" si="59"/>
        <v>0</v>
      </c>
      <c r="I292" s="362">
        <f t="shared" si="60"/>
        <v>0</v>
      </c>
      <c r="J292" s="357"/>
      <c r="K292" s="363">
        <f>Données!Y292</f>
        <v>0</v>
      </c>
      <c r="L292" s="324">
        <f>Données!Z292</f>
        <v>0.06</v>
      </c>
      <c r="M292" s="336">
        <f t="shared" si="54"/>
        <v>35.089020771513354</v>
      </c>
      <c r="N292" s="362">
        <f t="shared" si="55"/>
        <v>0</v>
      </c>
      <c r="O292" s="357"/>
      <c r="P292" s="318">
        <f>Données!AA292</f>
        <v>86</v>
      </c>
      <c r="Q292" s="359">
        <f>Données!AB292</f>
        <v>56</v>
      </c>
      <c r="R292" s="302">
        <f t="shared" si="56"/>
        <v>94.4</v>
      </c>
      <c r="S292" s="364">
        <f t="shared" si="57"/>
        <v>0.12056194125159643</v>
      </c>
      <c r="T292" s="344">
        <f t="shared" si="58"/>
        <v>106.81927686739917</v>
      </c>
      <c r="U292" s="344">
        <f t="shared" si="61"/>
        <v>0</v>
      </c>
      <c r="V292" s="362">
        <f t="shared" si="62"/>
        <v>0</v>
      </c>
      <c r="W292" s="436"/>
      <c r="X292" s="302">
        <f t="shared" si="63"/>
        <v>0</v>
      </c>
      <c r="Y292" s="322">
        <f t="shared" si="64"/>
        <v>0</v>
      </c>
    </row>
    <row r="293" spans="1:25" x14ac:dyDescent="0.25">
      <c r="A293" s="148">
        <f>Données!A293</f>
        <v>5923</v>
      </c>
      <c r="B293" s="156" t="str">
        <f>Données!B293</f>
        <v>Oppens</v>
      </c>
      <c r="C293" s="321">
        <f>Données!C293</f>
        <v>202</v>
      </c>
      <c r="D293" s="336"/>
      <c r="E293" s="318">
        <f>Données!X293</f>
        <v>358</v>
      </c>
      <c r="F293" s="361">
        <f t="shared" si="52"/>
        <v>1.7722772277227723</v>
      </c>
      <c r="G293" s="336">
        <f t="shared" si="53"/>
        <v>157.77978226021906</v>
      </c>
      <c r="H293" s="344">
        <f t="shared" si="59"/>
        <v>200.22021773978094</v>
      </c>
      <c r="I293" s="362">
        <f t="shared" si="60"/>
        <v>-21289</v>
      </c>
      <c r="J293" s="357"/>
      <c r="K293" s="363">
        <f>Données!Y293</f>
        <v>0</v>
      </c>
      <c r="L293" s="324">
        <f>Données!Z293</f>
        <v>0.107</v>
      </c>
      <c r="M293" s="336">
        <f t="shared" si="54"/>
        <v>62.575420375865484</v>
      </c>
      <c r="N293" s="362">
        <f t="shared" si="55"/>
        <v>0</v>
      </c>
      <c r="O293" s="357"/>
      <c r="P293" s="318">
        <f>Données!AA293</f>
        <v>28</v>
      </c>
      <c r="Q293" s="359">
        <f>Données!AB293</f>
        <v>19</v>
      </c>
      <c r="R293" s="302">
        <f t="shared" si="56"/>
        <v>30.85</v>
      </c>
      <c r="S293" s="364">
        <f t="shared" si="57"/>
        <v>0.15272277227722772</v>
      </c>
      <c r="T293" s="344">
        <f t="shared" si="58"/>
        <v>27.55746350857552</v>
      </c>
      <c r="U293" s="344">
        <f t="shared" si="61"/>
        <v>3.2925364914244817</v>
      </c>
      <c r="V293" s="362">
        <f t="shared" si="62"/>
        <v>-14004</v>
      </c>
      <c r="W293" s="436"/>
      <c r="X293" s="302">
        <f t="shared" si="63"/>
        <v>-12121.661721068249</v>
      </c>
      <c r="Y293" s="322">
        <f t="shared" si="64"/>
        <v>-1882.3382789317511</v>
      </c>
    </row>
    <row r="294" spans="1:25" x14ac:dyDescent="0.25">
      <c r="A294" s="148">
        <f>Données!A294</f>
        <v>5924</v>
      </c>
      <c r="B294" s="156" t="str">
        <f>Données!B294</f>
        <v>Orges</v>
      </c>
      <c r="C294" s="321">
        <f>Données!C294</f>
        <v>424</v>
      </c>
      <c r="D294" s="336"/>
      <c r="E294" s="318">
        <f>Données!X294</f>
        <v>405</v>
      </c>
      <c r="F294" s="361">
        <f t="shared" si="52"/>
        <v>0.95518867924528306</v>
      </c>
      <c r="G294" s="336">
        <f t="shared" si="53"/>
        <v>331.18132514026183</v>
      </c>
      <c r="H294" s="344">
        <f t="shared" si="59"/>
        <v>73.818674859738167</v>
      </c>
      <c r="I294" s="362">
        <f t="shared" si="60"/>
        <v>-7849</v>
      </c>
      <c r="J294" s="357"/>
      <c r="K294" s="363">
        <f>Données!Y294</f>
        <v>0</v>
      </c>
      <c r="L294" s="324">
        <f>Données!Z294</f>
        <v>1.2999999999999999E-2</v>
      </c>
      <c r="M294" s="336">
        <f t="shared" si="54"/>
        <v>7.6026211671612263</v>
      </c>
      <c r="N294" s="362">
        <f t="shared" si="55"/>
        <v>0</v>
      </c>
      <c r="O294" s="357"/>
      <c r="P294" s="318">
        <f>Données!AA294</f>
        <v>48</v>
      </c>
      <c r="Q294" s="359">
        <f>Données!AB294</f>
        <v>37</v>
      </c>
      <c r="R294" s="302">
        <f t="shared" si="56"/>
        <v>53.55</v>
      </c>
      <c r="S294" s="364">
        <f t="shared" si="57"/>
        <v>0.12629716981132075</v>
      </c>
      <c r="T294" s="344">
        <f t="shared" si="58"/>
        <v>57.84338875067337</v>
      </c>
      <c r="U294" s="344">
        <f t="shared" si="61"/>
        <v>0</v>
      </c>
      <c r="V294" s="362">
        <f t="shared" si="62"/>
        <v>0</v>
      </c>
      <c r="W294" s="436"/>
      <c r="X294" s="302">
        <f t="shared" si="63"/>
        <v>0</v>
      </c>
      <c r="Y294" s="322">
        <f t="shared" si="64"/>
        <v>0</v>
      </c>
    </row>
    <row r="295" spans="1:25" x14ac:dyDescent="0.25">
      <c r="A295" s="148">
        <f>Données!A295</f>
        <v>5925</v>
      </c>
      <c r="B295" s="156" t="str">
        <f>Données!B295</f>
        <v>Orzens</v>
      </c>
      <c r="C295" s="321">
        <f>Données!C295</f>
        <v>216</v>
      </c>
      <c r="D295" s="336"/>
      <c r="E295" s="318">
        <f>Données!X295</f>
        <v>420</v>
      </c>
      <c r="F295" s="361">
        <f t="shared" si="52"/>
        <v>1.9444444444444444</v>
      </c>
      <c r="G295" s="336">
        <f t="shared" si="53"/>
        <v>168.71501469409563</v>
      </c>
      <c r="H295" s="344">
        <f t="shared" si="59"/>
        <v>251.28498530590437</v>
      </c>
      <c r="I295" s="362">
        <f t="shared" si="60"/>
        <v>-26719</v>
      </c>
      <c r="J295" s="357"/>
      <c r="K295" s="363">
        <f>Données!Y295</f>
        <v>0</v>
      </c>
      <c r="L295" s="324">
        <f>Données!Z295</f>
        <v>6.3E-2</v>
      </c>
      <c r="M295" s="336">
        <f t="shared" si="54"/>
        <v>36.843471810089021</v>
      </c>
      <c r="N295" s="362">
        <f t="shared" si="55"/>
        <v>0</v>
      </c>
      <c r="O295" s="357"/>
      <c r="P295" s="318">
        <f>Données!AA295</f>
        <v>18</v>
      </c>
      <c r="Q295" s="359">
        <f>Données!AB295</f>
        <v>18</v>
      </c>
      <c r="R295" s="302">
        <f t="shared" si="56"/>
        <v>20.7</v>
      </c>
      <c r="S295" s="364">
        <f t="shared" si="57"/>
        <v>9.5833333333333326E-2</v>
      </c>
      <c r="T295" s="344">
        <f t="shared" si="58"/>
        <v>29.467386722041152</v>
      </c>
      <c r="U295" s="344">
        <f t="shared" si="61"/>
        <v>0</v>
      </c>
      <c r="V295" s="362">
        <f t="shared" si="62"/>
        <v>0</v>
      </c>
      <c r="W295" s="436"/>
      <c r="X295" s="302">
        <f t="shared" si="63"/>
        <v>0</v>
      </c>
      <c r="Y295" s="322">
        <f t="shared" si="64"/>
        <v>0</v>
      </c>
    </row>
    <row r="296" spans="1:25" x14ac:dyDescent="0.25">
      <c r="A296" s="148">
        <f>Données!A296</f>
        <v>5926</v>
      </c>
      <c r="B296" s="156" t="str">
        <f>Données!B296</f>
        <v>Pomy</v>
      </c>
      <c r="C296" s="321">
        <f>Données!C296</f>
        <v>877</v>
      </c>
      <c r="D296" s="336"/>
      <c r="E296" s="318">
        <f>Données!X296</f>
        <v>559</v>
      </c>
      <c r="F296" s="361">
        <f t="shared" si="52"/>
        <v>0.63740022805017105</v>
      </c>
      <c r="G296" s="336">
        <f t="shared" si="53"/>
        <v>685.01420317926795</v>
      </c>
      <c r="H296" s="344">
        <f t="shared" si="59"/>
        <v>0</v>
      </c>
      <c r="I296" s="362">
        <f t="shared" si="60"/>
        <v>0</v>
      </c>
      <c r="J296" s="357"/>
      <c r="K296" s="363">
        <f>Données!Y296</f>
        <v>0</v>
      </c>
      <c r="L296" s="324">
        <f>Données!Z296</f>
        <v>3.6999999999999998E-2</v>
      </c>
      <c r="M296" s="336">
        <f t="shared" si="54"/>
        <v>21.638229475766568</v>
      </c>
      <c r="N296" s="362">
        <f t="shared" si="55"/>
        <v>0</v>
      </c>
      <c r="O296" s="357"/>
      <c r="P296" s="318">
        <f>Données!AA296</f>
        <v>130</v>
      </c>
      <c r="Q296" s="359">
        <f>Données!AB296</f>
        <v>87</v>
      </c>
      <c r="R296" s="302">
        <f t="shared" si="56"/>
        <v>143.05000000000001</v>
      </c>
      <c r="S296" s="364">
        <f t="shared" si="57"/>
        <v>0.16311288483466363</v>
      </c>
      <c r="T296" s="344">
        <f t="shared" si="58"/>
        <v>119.64304701495412</v>
      </c>
      <c r="U296" s="344">
        <f t="shared" si="61"/>
        <v>23.406952985045891</v>
      </c>
      <c r="V296" s="362">
        <f t="shared" si="62"/>
        <v>-99555</v>
      </c>
      <c r="W296" s="436"/>
      <c r="X296" s="302">
        <f t="shared" si="63"/>
        <v>-55504.451038575658</v>
      </c>
      <c r="Y296" s="322">
        <f t="shared" si="64"/>
        <v>-44050.548961424342</v>
      </c>
    </row>
    <row r="297" spans="1:25" x14ac:dyDescent="0.25">
      <c r="A297" s="148">
        <f>Données!A297</f>
        <v>5928</v>
      </c>
      <c r="B297" s="156" t="str">
        <f>Données!B297</f>
        <v>Rovray</v>
      </c>
      <c r="C297" s="321">
        <f>Données!C297</f>
        <v>195</v>
      </c>
      <c r="D297" s="336"/>
      <c r="E297" s="318">
        <f>Données!X297</f>
        <v>322</v>
      </c>
      <c r="F297" s="361">
        <f t="shared" si="52"/>
        <v>1.6512820512820512</v>
      </c>
      <c r="G297" s="336">
        <f t="shared" si="53"/>
        <v>152.3121660432808</v>
      </c>
      <c r="H297" s="344">
        <f t="shared" si="59"/>
        <v>169.6878339567192</v>
      </c>
      <c r="I297" s="362">
        <f t="shared" si="60"/>
        <v>-18043</v>
      </c>
      <c r="J297" s="357"/>
      <c r="K297" s="363">
        <f>Données!Y297</f>
        <v>0</v>
      </c>
      <c r="L297" s="324">
        <f>Données!Z297</f>
        <v>7.9000000000000001E-2</v>
      </c>
      <c r="M297" s="336">
        <f t="shared" si="54"/>
        <v>46.200544015825919</v>
      </c>
      <c r="N297" s="362">
        <f t="shared" si="55"/>
        <v>0</v>
      </c>
      <c r="O297" s="357"/>
      <c r="P297" s="318">
        <f>Données!AA297</f>
        <v>35</v>
      </c>
      <c r="Q297" s="359">
        <f>Données!AB297</f>
        <v>35</v>
      </c>
      <c r="R297" s="302">
        <f t="shared" si="56"/>
        <v>40.25</v>
      </c>
      <c r="S297" s="364">
        <f t="shared" si="57"/>
        <v>0.2064102564102564</v>
      </c>
      <c r="T297" s="344">
        <f t="shared" si="58"/>
        <v>26.602501901842707</v>
      </c>
      <c r="U297" s="344">
        <f t="shared" si="61"/>
        <v>13.647498098157293</v>
      </c>
      <c r="V297" s="362">
        <f t="shared" si="62"/>
        <v>-58046</v>
      </c>
      <c r="W297" s="436"/>
      <c r="X297" s="302">
        <f t="shared" si="63"/>
        <v>-22329.376854599406</v>
      </c>
      <c r="Y297" s="322">
        <f t="shared" si="64"/>
        <v>-35716.62314540059</v>
      </c>
    </row>
    <row r="298" spans="1:25" x14ac:dyDescent="0.25">
      <c r="A298" s="148">
        <f>Données!A298</f>
        <v>5929</v>
      </c>
      <c r="B298" s="156" t="str">
        <f>Données!B298</f>
        <v>Suchy</v>
      </c>
      <c r="C298" s="321">
        <f>Données!C298</f>
        <v>670</v>
      </c>
      <c r="D298" s="336"/>
      <c r="E298" s="318">
        <f>Données!X298</f>
        <v>665</v>
      </c>
      <c r="F298" s="361">
        <f t="shared" si="52"/>
        <v>0.9925373134328358</v>
      </c>
      <c r="G298" s="336">
        <f t="shared" si="53"/>
        <v>523.32898076409299</v>
      </c>
      <c r="H298" s="344">
        <f t="shared" si="59"/>
        <v>141.67101923590701</v>
      </c>
      <c r="I298" s="362">
        <f t="shared" si="60"/>
        <v>-15064</v>
      </c>
      <c r="J298" s="357"/>
      <c r="K298" s="363">
        <f>Données!Y298</f>
        <v>0</v>
      </c>
      <c r="L298" s="324">
        <f>Données!Z298</f>
        <v>3.3000000000000002E-2</v>
      </c>
      <c r="M298" s="336">
        <f t="shared" si="54"/>
        <v>19.298961424332347</v>
      </c>
      <c r="N298" s="362">
        <f t="shared" si="55"/>
        <v>0</v>
      </c>
      <c r="O298" s="357"/>
      <c r="P298" s="318">
        <f>Données!AA298</f>
        <v>103</v>
      </c>
      <c r="Q298" s="359">
        <f>Données!AB298</f>
        <v>103</v>
      </c>
      <c r="R298" s="302">
        <f t="shared" si="56"/>
        <v>118.45</v>
      </c>
      <c r="S298" s="364">
        <f t="shared" si="57"/>
        <v>0.1767910447761194</v>
      </c>
      <c r="T298" s="344">
        <f t="shared" si="58"/>
        <v>91.40346807299801</v>
      </c>
      <c r="U298" s="344">
        <f t="shared" si="61"/>
        <v>27.046531927001993</v>
      </c>
      <c r="V298" s="362">
        <f t="shared" si="62"/>
        <v>-115035</v>
      </c>
      <c r="W298" s="436"/>
      <c r="X298" s="302">
        <f t="shared" si="63"/>
        <v>-65712.166172106823</v>
      </c>
      <c r="Y298" s="322">
        <f t="shared" si="64"/>
        <v>-49322.833827893177</v>
      </c>
    </row>
    <row r="299" spans="1:25" x14ac:dyDescent="0.25">
      <c r="A299" s="148">
        <f>Données!A299</f>
        <v>5930</v>
      </c>
      <c r="B299" s="156" t="str">
        <f>Données!B299</f>
        <v>Suscévaz</v>
      </c>
      <c r="C299" s="321">
        <f>Données!C299</f>
        <v>237</v>
      </c>
      <c r="D299" s="336"/>
      <c r="E299" s="318">
        <f>Données!X299</f>
        <v>398</v>
      </c>
      <c r="F299" s="361">
        <f t="shared" si="52"/>
        <v>1.6793248945147679</v>
      </c>
      <c r="G299" s="336">
        <f t="shared" si="53"/>
        <v>185.11786334491049</v>
      </c>
      <c r="H299" s="344">
        <f t="shared" si="59"/>
        <v>212.88213665508951</v>
      </c>
      <c r="I299" s="362">
        <f t="shared" si="60"/>
        <v>-22636</v>
      </c>
      <c r="J299" s="357"/>
      <c r="K299" s="363">
        <f>Données!Y299</f>
        <v>0</v>
      </c>
      <c r="L299" s="324">
        <f>Données!Z299</f>
        <v>1.9E-2</v>
      </c>
      <c r="M299" s="336">
        <f t="shared" si="54"/>
        <v>11.111523244312563</v>
      </c>
      <c r="N299" s="362">
        <f t="shared" si="55"/>
        <v>0</v>
      </c>
      <c r="O299" s="357"/>
      <c r="P299" s="318">
        <f>Données!AA299</f>
        <v>32</v>
      </c>
      <c r="Q299" s="359">
        <f>Données!AB299</f>
        <v>31</v>
      </c>
      <c r="R299" s="302">
        <f t="shared" si="56"/>
        <v>36.65</v>
      </c>
      <c r="S299" s="364">
        <f t="shared" si="57"/>
        <v>0.15464135021097045</v>
      </c>
      <c r="T299" s="344">
        <f t="shared" si="58"/>
        <v>32.332271542239596</v>
      </c>
      <c r="U299" s="344">
        <f t="shared" si="61"/>
        <v>4.3177284577604027</v>
      </c>
      <c r="V299" s="362">
        <f t="shared" si="62"/>
        <v>-18364</v>
      </c>
      <c r="W299" s="436"/>
      <c r="X299" s="302">
        <f t="shared" si="63"/>
        <v>-18364</v>
      </c>
      <c r="Y299" s="322">
        <f t="shared" si="64"/>
        <v>0</v>
      </c>
    </row>
    <row r="300" spans="1:25" x14ac:dyDescent="0.25">
      <c r="A300" s="148">
        <f>Données!A300</f>
        <v>5931</v>
      </c>
      <c r="B300" s="156" t="str">
        <f>Données!B300</f>
        <v>Treycovagnes</v>
      </c>
      <c r="C300" s="321">
        <f>Données!C300</f>
        <v>513</v>
      </c>
      <c r="D300" s="336"/>
      <c r="E300" s="318">
        <f>Données!X300</f>
        <v>204</v>
      </c>
      <c r="F300" s="361">
        <f t="shared" si="52"/>
        <v>0.39766081871345027</v>
      </c>
      <c r="G300" s="336">
        <f t="shared" si="53"/>
        <v>400.69815989847712</v>
      </c>
      <c r="H300" s="344">
        <f t="shared" si="59"/>
        <v>0</v>
      </c>
      <c r="I300" s="362">
        <f t="shared" si="60"/>
        <v>0</v>
      </c>
      <c r="J300" s="357"/>
      <c r="K300" s="363">
        <f>Données!Y300</f>
        <v>0</v>
      </c>
      <c r="L300" s="324">
        <f>Données!Z300</f>
        <v>1.7999999999999999E-2</v>
      </c>
      <c r="M300" s="336">
        <f t="shared" si="54"/>
        <v>10.526706231454005</v>
      </c>
      <c r="N300" s="362">
        <f t="shared" si="55"/>
        <v>0</v>
      </c>
      <c r="O300" s="357"/>
      <c r="P300" s="318">
        <f>Données!AA300</f>
        <v>62</v>
      </c>
      <c r="Q300" s="359">
        <f>Données!AB300</f>
        <v>14</v>
      </c>
      <c r="R300" s="302">
        <f t="shared" si="56"/>
        <v>64.099999999999994</v>
      </c>
      <c r="S300" s="364">
        <f t="shared" si="57"/>
        <v>0.1249512670565302</v>
      </c>
      <c r="T300" s="344">
        <f t="shared" si="58"/>
        <v>69.985043464847735</v>
      </c>
      <c r="U300" s="344">
        <f t="shared" si="61"/>
        <v>0</v>
      </c>
      <c r="V300" s="362">
        <f t="shared" si="62"/>
        <v>0</v>
      </c>
      <c r="W300" s="436"/>
      <c r="X300" s="302">
        <f t="shared" si="63"/>
        <v>0</v>
      </c>
      <c r="Y300" s="322">
        <f t="shared" si="64"/>
        <v>0</v>
      </c>
    </row>
    <row r="301" spans="1:25" x14ac:dyDescent="0.25">
      <c r="A301" s="148">
        <f>Données!A301</f>
        <v>5932</v>
      </c>
      <c r="B301" s="156" t="str">
        <f>Données!B301</f>
        <v>Ursins</v>
      </c>
      <c r="C301" s="321">
        <f>Données!C301</f>
        <v>233</v>
      </c>
      <c r="D301" s="336"/>
      <c r="E301" s="318">
        <f>Données!X301</f>
        <v>339</v>
      </c>
      <c r="F301" s="361">
        <f t="shared" si="52"/>
        <v>1.4549356223175967</v>
      </c>
      <c r="G301" s="336">
        <f t="shared" si="53"/>
        <v>181.99351122094575</v>
      </c>
      <c r="H301" s="344">
        <f t="shared" si="59"/>
        <v>157.00648877905425</v>
      </c>
      <c r="I301" s="362">
        <f t="shared" si="60"/>
        <v>-16695</v>
      </c>
      <c r="J301" s="357"/>
      <c r="K301" s="363">
        <f>Données!Y301</f>
        <v>0</v>
      </c>
      <c r="L301" s="324">
        <f>Données!Z301</f>
        <v>1.7000000000000001E-2</v>
      </c>
      <c r="M301" s="336">
        <f t="shared" si="54"/>
        <v>9.9418892185954508</v>
      </c>
      <c r="N301" s="362">
        <f t="shared" si="55"/>
        <v>0</v>
      </c>
      <c r="O301" s="357"/>
      <c r="P301" s="318">
        <f>Données!AA301</f>
        <v>26</v>
      </c>
      <c r="Q301" s="359">
        <f>Données!AB301</f>
        <v>26</v>
      </c>
      <c r="R301" s="302">
        <f t="shared" si="56"/>
        <v>29.9</v>
      </c>
      <c r="S301" s="364">
        <f t="shared" si="57"/>
        <v>0.12832618025751072</v>
      </c>
      <c r="T301" s="344">
        <f t="shared" si="58"/>
        <v>31.786579195535129</v>
      </c>
      <c r="U301" s="344">
        <f t="shared" si="61"/>
        <v>0</v>
      </c>
      <c r="V301" s="362">
        <f t="shared" si="62"/>
        <v>0</v>
      </c>
      <c r="W301" s="436"/>
      <c r="X301" s="302">
        <f t="shared" si="63"/>
        <v>0</v>
      </c>
      <c r="Y301" s="322">
        <f t="shared" si="64"/>
        <v>0</v>
      </c>
    </row>
    <row r="302" spans="1:25" x14ac:dyDescent="0.25">
      <c r="A302" s="148">
        <f>Données!A302</f>
        <v>5933</v>
      </c>
      <c r="B302" s="156" t="str">
        <f>Données!B302</f>
        <v>Valeyres-sous-Montagny</v>
      </c>
      <c r="C302" s="321">
        <f>Données!C302</f>
        <v>706</v>
      </c>
      <c r="D302" s="336"/>
      <c r="E302" s="318">
        <f>Données!X302</f>
        <v>225</v>
      </c>
      <c r="F302" s="361">
        <f t="shared" si="52"/>
        <v>0.31869688385269124</v>
      </c>
      <c r="G302" s="336">
        <f t="shared" si="53"/>
        <v>551.44814987977554</v>
      </c>
      <c r="H302" s="344">
        <f t="shared" si="59"/>
        <v>0</v>
      </c>
      <c r="I302" s="362">
        <f t="shared" si="60"/>
        <v>0</v>
      </c>
      <c r="J302" s="357"/>
      <c r="K302" s="363">
        <f>Données!Y302</f>
        <v>0</v>
      </c>
      <c r="L302" s="324">
        <f>Données!Z302</f>
        <v>6.8000000000000005E-2</v>
      </c>
      <c r="M302" s="336">
        <f t="shared" si="54"/>
        <v>39.767556874381803</v>
      </c>
      <c r="N302" s="362">
        <f t="shared" si="55"/>
        <v>0</v>
      </c>
      <c r="O302" s="357"/>
      <c r="P302" s="318">
        <f>Données!AA302</f>
        <v>81</v>
      </c>
      <c r="Q302" s="359">
        <f>Données!AB302</f>
        <v>35</v>
      </c>
      <c r="R302" s="302">
        <f t="shared" si="56"/>
        <v>86.25</v>
      </c>
      <c r="S302" s="364">
        <f t="shared" si="57"/>
        <v>0.12216713881019831</v>
      </c>
      <c r="T302" s="344">
        <f t="shared" si="58"/>
        <v>96.3146991933382</v>
      </c>
      <c r="U302" s="344">
        <f t="shared" si="61"/>
        <v>0</v>
      </c>
      <c r="V302" s="362">
        <f t="shared" si="62"/>
        <v>0</v>
      </c>
      <c r="W302" s="436"/>
      <c r="X302" s="302">
        <f t="shared" si="63"/>
        <v>0</v>
      </c>
      <c r="Y302" s="322">
        <f t="shared" si="64"/>
        <v>0</v>
      </c>
    </row>
    <row r="303" spans="1:25" x14ac:dyDescent="0.25">
      <c r="A303" s="148">
        <f>Données!A303</f>
        <v>5934</v>
      </c>
      <c r="B303" s="156" t="str">
        <f>Données!B303</f>
        <v>Valeyres-sous-Ursins</v>
      </c>
      <c r="C303" s="321">
        <f>Données!C303</f>
        <v>236</v>
      </c>
      <c r="D303" s="336"/>
      <c r="E303" s="318">
        <f>Données!X303</f>
        <v>286</v>
      </c>
      <c r="F303" s="361">
        <f t="shared" si="52"/>
        <v>1.2118644067796611</v>
      </c>
      <c r="G303" s="336">
        <f t="shared" si="53"/>
        <v>184.3367753139193</v>
      </c>
      <c r="H303" s="344">
        <f t="shared" si="59"/>
        <v>101.6632246860807</v>
      </c>
      <c r="I303" s="362">
        <f t="shared" si="60"/>
        <v>-10810</v>
      </c>
      <c r="J303" s="357"/>
      <c r="K303" s="363">
        <f>Données!Y303</f>
        <v>0</v>
      </c>
      <c r="L303" s="324">
        <f>Données!Z303</f>
        <v>0.08</v>
      </c>
      <c r="M303" s="336">
        <f t="shared" si="54"/>
        <v>46.785361028684477</v>
      </c>
      <c r="N303" s="362">
        <f t="shared" si="55"/>
        <v>0</v>
      </c>
      <c r="O303" s="357"/>
      <c r="P303" s="318">
        <f>Données!AA303</f>
        <v>19</v>
      </c>
      <c r="Q303" s="359">
        <f>Données!AB303</f>
        <v>19</v>
      </c>
      <c r="R303" s="302">
        <f t="shared" si="56"/>
        <v>21.85</v>
      </c>
      <c r="S303" s="364">
        <f t="shared" si="57"/>
        <v>9.2584745762711876E-2</v>
      </c>
      <c r="T303" s="344">
        <f t="shared" si="58"/>
        <v>32.195848455563478</v>
      </c>
      <c r="U303" s="344">
        <f t="shared" si="61"/>
        <v>0</v>
      </c>
      <c r="V303" s="362">
        <f t="shared" si="62"/>
        <v>0</v>
      </c>
      <c r="W303" s="436"/>
      <c r="X303" s="302">
        <f t="shared" si="63"/>
        <v>0</v>
      </c>
      <c r="Y303" s="322">
        <f t="shared" si="64"/>
        <v>0</v>
      </c>
    </row>
    <row r="304" spans="1:25" x14ac:dyDescent="0.25">
      <c r="A304" s="148">
        <f>Données!A304</f>
        <v>5935</v>
      </c>
      <c r="B304" s="156" t="str">
        <f>Données!B304</f>
        <v>Villars-Epeney</v>
      </c>
      <c r="C304" s="321">
        <f>Données!C304</f>
        <v>108</v>
      </c>
      <c r="D304" s="336"/>
      <c r="E304" s="318">
        <f>Données!X304</f>
        <v>88</v>
      </c>
      <c r="F304" s="361">
        <f t="shared" si="52"/>
        <v>0.81481481481481477</v>
      </c>
      <c r="G304" s="336">
        <f t="shared" si="53"/>
        <v>84.357507347047815</v>
      </c>
      <c r="H304" s="344">
        <f t="shared" si="59"/>
        <v>3.6424926529521855</v>
      </c>
      <c r="I304" s="362">
        <f t="shared" si="60"/>
        <v>-387</v>
      </c>
      <c r="J304" s="357"/>
      <c r="K304" s="363">
        <f>Données!Y304</f>
        <v>0</v>
      </c>
      <c r="L304" s="324">
        <f>Données!Z304</f>
        <v>1.9E-2</v>
      </c>
      <c r="M304" s="336">
        <f t="shared" si="54"/>
        <v>11.111523244312563</v>
      </c>
      <c r="N304" s="362">
        <f t="shared" si="55"/>
        <v>0</v>
      </c>
      <c r="O304" s="357"/>
      <c r="P304" s="318">
        <f>Données!AA304</f>
        <v>14</v>
      </c>
      <c r="Q304" s="359">
        <f>Données!AB304</f>
        <v>14</v>
      </c>
      <c r="R304" s="302">
        <f t="shared" si="56"/>
        <v>16.100000000000001</v>
      </c>
      <c r="S304" s="364">
        <f t="shared" si="57"/>
        <v>0.14907407407407408</v>
      </c>
      <c r="T304" s="344">
        <f t="shared" si="58"/>
        <v>14.733693361020576</v>
      </c>
      <c r="U304" s="344">
        <f t="shared" si="61"/>
        <v>1.3663066389794256</v>
      </c>
      <c r="V304" s="362">
        <f t="shared" si="62"/>
        <v>-5811</v>
      </c>
      <c r="W304" s="436"/>
      <c r="X304" s="302">
        <f t="shared" si="63"/>
        <v>-5811</v>
      </c>
      <c r="Y304" s="322">
        <f t="shared" si="64"/>
        <v>0</v>
      </c>
    </row>
    <row r="305" spans="1:25" x14ac:dyDescent="0.25">
      <c r="A305" s="148">
        <f>Données!A305</f>
        <v>5937</v>
      </c>
      <c r="B305" s="156" t="str">
        <f>Données!B305</f>
        <v>Vugelles-La Mothe</v>
      </c>
      <c r="C305" s="321">
        <f>Données!C305</f>
        <v>147</v>
      </c>
      <c r="D305" s="336"/>
      <c r="E305" s="318">
        <f>Données!X305</f>
        <v>303</v>
      </c>
      <c r="F305" s="361">
        <f t="shared" si="52"/>
        <v>2.0612244897959182</v>
      </c>
      <c r="G305" s="336">
        <f t="shared" si="53"/>
        <v>114.81994055570398</v>
      </c>
      <c r="H305" s="344">
        <f t="shared" si="59"/>
        <v>188.18005944429603</v>
      </c>
      <c r="I305" s="362">
        <f t="shared" si="60"/>
        <v>-20009</v>
      </c>
      <c r="J305" s="357"/>
      <c r="K305" s="363">
        <f>Données!Y305</f>
        <v>0</v>
      </c>
      <c r="L305" s="324">
        <f>Données!Z305</f>
        <v>0.52900000000000003</v>
      </c>
      <c r="M305" s="336">
        <f t="shared" si="54"/>
        <v>309.36819980217609</v>
      </c>
      <c r="N305" s="362">
        <f t="shared" si="55"/>
        <v>0</v>
      </c>
      <c r="O305" s="357"/>
      <c r="P305" s="318">
        <f>Données!AA305</f>
        <v>15</v>
      </c>
      <c r="Q305" s="359">
        <f>Données!AB305</f>
        <v>15</v>
      </c>
      <c r="R305" s="302">
        <f t="shared" si="56"/>
        <v>17.25</v>
      </c>
      <c r="S305" s="364">
        <f t="shared" si="57"/>
        <v>0.11734693877551021</v>
      </c>
      <c r="T305" s="344">
        <f t="shared" si="58"/>
        <v>20.054193741389117</v>
      </c>
      <c r="U305" s="344">
        <f t="shared" si="61"/>
        <v>0</v>
      </c>
      <c r="V305" s="362">
        <f t="shared" si="62"/>
        <v>0</v>
      </c>
      <c r="W305" s="436"/>
      <c r="X305" s="302">
        <f t="shared" si="63"/>
        <v>0</v>
      </c>
      <c r="Y305" s="322">
        <f t="shared" si="64"/>
        <v>0</v>
      </c>
    </row>
    <row r="306" spans="1:25" x14ac:dyDescent="0.25">
      <c r="A306" s="148">
        <f>Données!A306</f>
        <v>5938</v>
      </c>
      <c r="B306" s="156" t="str">
        <f>Données!B306</f>
        <v>Yverdon-les-Bains</v>
      </c>
      <c r="C306" s="321">
        <f>Données!C306</f>
        <v>30332</v>
      </c>
      <c r="D306" s="336"/>
      <c r="E306" s="318">
        <f>Données!X306</f>
        <v>1279</v>
      </c>
      <c r="F306" s="361">
        <f t="shared" si="52"/>
        <v>4.2166688645654753E-2</v>
      </c>
      <c r="G306" s="336">
        <f t="shared" si="53"/>
        <v>23691.96215602458</v>
      </c>
      <c r="H306" s="344">
        <f t="shared" si="59"/>
        <v>0</v>
      </c>
      <c r="I306" s="362">
        <f t="shared" si="60"/>
        <v>0</v>
      </c>
      <c r="J306" s="357"/>
      <c r="K306" s="363">
        <f>Données!Y306</f>
        <v>0</v>
      </c>
      <c r="L306" s="324">
        <f>Données!Z306</f>
        <v>6.4000000000000001E-2</v>
      </c>
      <c r="M306" s="336">
        <f t="shared" si="54"/>
        <v>37.428288822947579</v>
      </c>
      <c r="N306" s="362">
        <f t="shared" si="55"/>
        <v>0</v>
      </c>
      <c r="O306" s="357"/>
      <c r="P306" s="318">
        <f>Données!AA306</f>
        <v>3610</v>
      </c>
      <c r="Q306" s="359">
        <f>Données!AB306</f>
        <v>104</v>
      </c>
      <c r="R306" s="302">
        <f t="shared" si="56"/>
        <v>3625.6</v>
      </c>
      <c r="S306" s="364">
        <f t="shared" si="57"/>
        <v>0.11953052881445338</v>
      </c>
      <c r="T306" s="344">
        <f t="shared" si="58"/>
        <v>4137.9850650599637</v>
      </c>
      <c r="U306" s="344">
        <f t="shared" si="61"/>
        <v>0</v>
      </c>
      <c r="V306" s="362">
        <f t="shared" si="62"/>
        <v>0</v>
      </c>
      <c r="W306" s="436"/>
      <c r="X306" s="302">
        <f t="shared" si="63"/>
        <v>0</v>
      </c>
      <c r="Y306" s="322">
        <f t="shared" si="64"/>
        <v>0</v>
      </c>
    </row>
    <row r="307" spans="1:25" x14ac:dyDescent="0.25">
      <c r="A307" s="150">
        <f>Données!A307</f>
        <v>5939</v>
      </c>
      <c r="B307" s="157" t="str">
        <f>Données!B307</f>
        <v>Yvonand</v>
      </c>
      <c r="C307" s="346">
        <f>Données!C307</f>
        <v>3525</v>
      </c>
      <c r="D307" s="336"/>
      <c r="E307" s="347">
        <f>Données!X307</f>
        <v>1294</v>
      </c>
      <c r="F307" s="365">
        <f>E307/C307</f>
        <v>0.36709219858156028</v>
      </c>
      <c r="G307" s="336">
        <f t="shared" si="53"/>
        <v>2753.335309243922</v>
      </c>
      <c r="H307" s="344">
        <f t="shared" si="59"/>
        <v>0</v>
      </c>
      <c r="I307" s="366">
        <f t="shared" si="60"/>
        <v>0</v>
      </c>
      <c r="J307" s="357"/>
      <c r="K307" s="367">
        <f>Données!Y307</f>
        <v>0</v>
      </c>
      <c r="L307" s="330">
        <f>Données!Z307</f>
        <v>0.13300000000000001</v>
      </c>
      <c r="M307" s="349">
        <f t="shared" si="54"/>
        <v>77.78066271018794</v>
      </c>
      <c r="N307" s="366">
        <f t="shared" si="55"/>
        <v>0</v>
      </c>
      <c r="O307" s="357"/>
      <c r="P307" s="318">
        <f>Données!AA307</f>
        <v>476</v>
      </c>
      <c r="Q307" s="359">
        <f>Données!AB307</f>
        <v>36</v>
      </c>
      <c r="R307" s="327">
        <f t="shared" si="56"/>
        <v>481.4</v>
      </c>
      <c r="S307" s="368">
        <f t="shared" si="57"/>
        <v>0.13656737588652482</v>
      </c>
      <c r="T307" s="351">
        <f t="shared" si="58"/>
        <v>480.89138053331044</v>
      </c>
      <c r="U307" s="351">
        <f t="shared" si="61"/>
        <v>0.50861946668953806</v>
      </c>
      <c r="V307" s="366">
        <f t="shared" si="62"/>
        <v>-2163</v>
      </c>
      <c r="W307" s="436"/>
      <c r="X307" s="327">
        <f t="shared" si="63"/>
        <v>-2163</v>
      </c>
      <c r="Y307" s="328">
        <f t="shared" si="64"/>
        <v>0</v>
      </c>
    </row>
    <row r="308" spans="1:25" x14ac:dyDescent="0.25">
      <c r="A308" s="558" t="s">
        <v>25</v>
      </c>
      <c r="B308" s="559"/>
      <c r="C308" s="369">
        <f>SUM(C8:C307)</f>
        <v>855749</v>
      </c>
      <c r="D308" s="336"/>
      <c r="E308" s="352">
        <f>SUM(E8:E307)</f>
        <v>269771</v>
      </c>
      <c r="F308" s="352">
        <f>SUM(F8:F307)</f>
        <v>281.80930544642024</v>
      </c>
      <c r="G308" s="370">
        <f>SUM(G8:G307)</f>
        <v>668415.30143267452</v>
      </c>
      <c r="H308" s="352">
        <f>SUM(H8:H307)</f>
        <v>75913.031909564525</v>
      </c>
      <c r="I308" s="366">
        <f>SUM(I8:I307)</f>
        <v>-8071860</v>
      </c>
      <c r="J308" s="357"/>
      <c r="K308" s="327">
        <f>SUM(K8:K307)</f>
        <v>90992</v>
      </c>
      <c r="L308" s="330">
        <f>SUM(L8:L307)</f>
        <v>40.945</v>
      </c>
      <c r="M308" s="371">
        <f>SUM(M8:M307)</f>
        <v>23945.332591493581</v>
      </c>
      <c r="N308" s="366">
        <f>SUM(N8:N307)</f>
        <v>-14967481</v>
      </c>
      <c r="O308" s="336"/>
      <c r="P308" s="352">
        <f>SUM(P8:P307)</f>
        <v>94403</v>
      </c>
      <c r="Q308" s="352">
        <f t="shared" ref="Q308:V308" si="65">SUM(Q8:Q307)</f>
        <v>19224</v>
      </c>
      <c r="R308" s="327">
        <f t="shared" si="65"/>
        <v>97286.599999999977</v>
      </c>
      <c r="S308" s="372">
        <f t="shared" si="65"/>
        <v>38.435744717194652</v>
      </c>
      <c r="T308" s="327">
        <f t="shared" si="65"/>
        <v>116743.91999999994</v>
      </c>
      <c r="U308" s="327">
        <f t="shared" si="65"/>
        <v>1397.5716630694333</v>
      </c>
      <c r="V308" s="366">
        <f t="shared" si="65"/>
        <v>-5944171</v>
      </c>
      <c r="W308" s="313"/>
      <c r="X308" s="327">
        <f>SUM(X8:X307)</f>
        <v>-3538396.1928783385</v>
      </c>
      <c r="Y308" s="352">
        <f>SUM(Y8:Y307)</f>
        <v>-2405774.8071216624</v>
      </c>
    </row>
    <row r="309" spans="1:25" x14ac:dyDescent="0.25">
      <c r="D309" s="10"/>
      <c r="I309" s="464">
        <f>I308/C3</f>
        <v>0.27849834071178126</v>
      </c>
      <c r="J309" s="465"/>
      <c r="K309" s="466"/>
      <c r="L309" s="466"/>
      <c r="M309" s="466"/>
      <c r="N309" s="467">
        <f>N308/C3</f>
        <v>0.51641364234948473</v>
      </c>
      <c r="O309" s="466"/>
      <c r="P309" s="466"/>
      <c r="Q309" s="466"/>
      <c r="R309" s="466"/>
      <c r="S309" s="466"/>
      <c r="T309" s="466"/>
      <c r="U309" s="466"/>
      <c r="V309" s="467">
        <f>V308/C3</f>
        <v>0.20508801693873399</v>
      </c>
    </row>
  </sheetData>
  <sheetProtection sheet="1" objects="1" scenarios="1"/>
  <mergeCells count="28">
    <mergeCell ref="R6:R7"/>
    <mergeCell ref="S6:S7"/>
    <mergeCell ref="T6:T7"/>
    <mergeCell ref="P3:T5"/>
    <mergeCell ref="W6:W7"/>
    <mergeCell ref="X6:X7"/>
    <mergeCell ref="Y6:Y7"/>
    <mergeCell ref="A3:B4"/>
    <mergeCell ref="C3:C4"/>
    <mergeCell ref="N3:N4"/>
    <mergeCell ref="E3:G5"/>
    <mergeCell ref="K3:L5"/>
    <mergeCell ref="N6:N7"/>
    <mergeCell ref="M6:M7"/>
    <mergeCell ref="K6:K7"/>
    <mergeCell ref="L6:L7"/>
    <mergeCell ref="H6:H7"/>
    <mergeCell ref="U6:U7"/>
    <mergeCell ref="V6:V7"/>
    <mergeCell ref="I6:I7"/>
    <mergeCell ref="M3:M4"/>
    <mergeCell ref="A308:B308"/>
    <mergeCell ref="B6:B7"/>
    <mergeCell ref="A6:A7"/>
    <mergeCell ref="F6:F7"/>
    <mergeCell ref="G6:G7"/>
    <mergeCell ref="C6:C7"/>
    <mergeCell ref="E6:E7"/>
  </mergeCells>
  <hyperlinks>
    <hyperlink ref="F1" location="Ressources!A1" display="← Précédent" xr:uid="{02BB707F-C9CA-441A-B7A7-891508CBE08A}"/>
    <hyperlink ref="G1" location="'Table des matières'!A1" display="Table des matières" xr:uid="{A3A856DB-D915-432D-B45A-BBEABF66BF4F}"/>
    <hyperlink ref="H1" location="'Charges des villes'!A1" display="Suivant →" xr:uid="{F4487309-89F7-4E9B-B8BA-D8524B4DD298}"/>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C26F-CB95-489F-82AB-C99617D0D8CE}">
  <sheetPr codeName="Feuil10">
    <tabColor theme="9" tint="0.79998168889431442"/>
    <pageSetUpPr autoPageBreaks="0"/>
  </sheetPr>
  <dimension ref="A1:U308"/>
  <sheetViews>
    <sheetView zoomScale="90" zoomScaleNormal="90" workbookViewId="0">
      <pane ySplit="7" topLeftCell="A8" activePane="bottomLeft" state="frozen"/>
      <selection pane="bottomLeft"/>
    </sheetView>
  </sheetViews>
  <sheetFormatPr baseColWidth="10" defaultRowHeight="15" x14ac:dyDescent="0.25"/>
  <cols>
    <col min="1" max="1" width="7.140625" style="4" customWidth="1"/>
    <col min="2" max="2" width="26.7109375" style="4" customWidth="1"/>
    <col min="3" max="3" width="13.85546875" style="4" customWidth="1"/>
    <col min="4" max="10" width="11.7109375" style="4" customWidth="1"/>
    <col min="11" max="11" width="2.85546875" style="27" customWidth="1"/>
    <col min="12" max="13" width="15.7109375" style="4" customWidth="1"/>
    <col min="14" max="14" width="14.140625" style="4" customWidth="1"/>
    <col min="15" max="15" width="2.85546875" style="4" customWidth="1"/>
    <col min="16" max="17" width="13.7109375" style="19" customWidth="1"/>
    <col min="18" max="18" width="14.85546875" style="19" customWidth="1"/>
    <col min="19" max="21" width="14.140625" style="19" customWidth="1"/>
    <col min="22" max="16384" width="11.42578125" style="4"/>
  </cols>
  <sheetData>
    <row r="1" spans="1:21" ht="26.25" x14ac:dyDescent="0.25">
      <c r="A1" s="8" t="s">
        <v>427</v>
      </c>
      <c r="G1" s="131" t="s">
        <v>442</v>
      </c>
      <c r="H1" s="133" t="s">
        <v>443</v>
      </c>
      <c r="I1" s="134" t="s">
        <v>444</v>
      </c>
      <c r="J1" s="114"/>
      <c r="O1" s="42"/>
      <c r="S1" s="468"/>
    </row>
    <row r="2" spans="1:21" ht="15" customHeight="1" x14ac:dyDescent="0.25">
      <c r="A2" s="60" t="str">
        <f>_xlfn.CONCAT(Paramètres!M5," ",Paramètres!N5)</f>
        <v>Décompte prévisionnel 2026</v>
      </c>
      <c r="B2" s="61"/>
      <c r="K2" s="75"/>
    </row>
    <row r="3" spans="1:21" ht="15" customHeight="1" x14ac:dyDescent="0.25">
      <c r="A3" s="61"/>
      <c r="B3" s="61"/>
      <c r="C3" s="596" t="s">
        <v>50</v>
      </c>
      <c r="D3" s="597"/>
      <c r="E3" s="597"/>
      <c r="F3" s="597"/>
      <c r="G3" s="597"/>
      <c r="H3" s="597"/>
      <c r="I3" s="597"/>
      <c r="J3" s="598"/>
      <c r="K3" s="25"/>
      <c r="L3" s="599" t="s">
        <v>29</v>
      </c>
      <c r="M3" s="600"/>
      <c r="N3" s="601"/>
      <c r="P3" s="605" t="s">
        <v>423</v>
      </c>
      <c r="Q3" s="606"/>
      <c r="R3" s="606"/>
      <c r="S3" s="606"/>
      <c r="T3" s="606"/>
      <c r="U3" s="607"/>
    </row>
    <row r="4" spans="1:21" ht="15" customHeight="1" x14ac:dyDescent="0.25">
      <c r="A4" s="61"/>
      <c r="B4" s="61"/>
      <c r="C4" s="256" t="s">
        <v>22</v>
      </c>
      <c r="D4" s="197">
        <f>Paramètres!N9</f>
        <v>0</v>
      </c>
      <c r="E4" s="197">
        <f>Paramètres!O9</f>
        <v>1000</v>
      </c>
      <c r="F4" s="197">
        <f>Paramètres!P9</f>
        <v>3000</v>
      </c>
      <c r="G4" s="197">
        <f>Paramètres!R9</f>
        <v>12000</v>
      </c>
      <c r="H4" s="197">
        <f>Paramètres!S9</f>
        <v>15000</v>
      </c>
      <c r="I4" s="197">
        <f>Paramètres!T9</f>
        <v>30000</v>
      </c>
      <c r="J4" s="197">
        <f>Paramètres!U9</f>
        <v>45000</v>
      </c>
      <c r="K4" s="66"/>
      <c r="L4" s="602"/>
      <c r="M4" s="603"/>
      <c r="N4" s="604"/>
      <c r="P4" s="608"/>
      <c r="Q4" s="609"/>
      <c r="R4" s="609"/>
      <c r="S4" s="609"/>
      <c r="T4" s="609"/>
      <c r="U4" s="610"/>
    </row>
    <row r="5" spans="1:21" ht="15" customHeight="1" x14ac:dyDescent="0.25">
      <c r="A5" s="61"/>
      <c r="B5" s="61"/>
      <c r="C5" s="257" t="s">
        <v>23</v>
      </c>
      <c r="D5" s="197">
        <f>Paramètres!N10</f>
        <v>1000</v>
      </c>
      <c r="E5" s="197">
        <f>Paramètres!O10</f>
        <v>3000</v>
      </c>
      <c r="F5" s="197">
        <f>Paramètres!Q10</f>
        <v>12000</v>
      </c>
      <c r="G5" s="197">
        <f>Paramètres!R10</f>
        <v>15000</v>
      </c>
      <c r="H5" s="197">
        <f>Paramètres!S10</f>
        <v>30000</v>
      </c>
      <c r="I5" s="197">
        <f>Paramètres!T10</f>
        <v>45000</v>
      </c>
      <c r="J5" s="197" t="str">
        <f>Paramètres!U10</f>
        <v/>
      </c>
      <c r="K5" s="66"/>
      <c r="L5" s="611" t="s">
        <v>25</v>
      </c>
      <c r="M5" s="612"/>
      <c r="N5" s="101" t="s">
        <v>441</v>
      </c>
      <c r="P5" s="613" t="s">
        <v>418</v>
      </c>
      <c r="Q5" s="614"/>
      <c r="R5" s="614" t="s">
        <v>25</v>
      </c>
      <c r="S5" s="614"/>
      <c r="T5" s="617"/>
      <c r="U5" s="101" t="s">
        <v>441</v>
      </c>
    </row>
    <row r="6" spans="1:21" ht="15" customHeight="1" x14ac:dyDescent="0.25">
      <c r="C6" s="258" t="s">
        <v>51</v>
      </c>
      <c r="D6" s="198">
        <f>Paramètres!N12</f>
        <v>132.9129574678536</v>
      </c>
      <c r="E6" s="198">
        <f>Paramètres!O12</f>
        <v>372.15628090999013</v>
      </c>
      <c r="F6" s="198">
        <f>Paramètres!P12</f>
        <v>664.56478733926804</v>
      </c>
      <c r="G6" s="198">
        <f>Paramètres!R12</f>
        <v>1063.3036597428288</v>
      </c>
      <c r="H6" s="198">
        <f>Paramètres!S12</f>
        <v>1116.4688427299704</v>
      </c>
      <c r="I6" s="198">
        <f>Paramètres!T12</f>
        <v>1169.6340257171119</v>
      </c>
      <c r="J6" s="199">
        <f>Paramètres!U12</f>
        <v>1222.7992087042533</v>
      </c>
      <c r="K6" s="67"/>
      <c r="L6" s="407">
        <f>L308</f>
        <v>-508216377.96735942</v>
      </c>
      <c r="M6" s="407">
        <f>M308</f>
        <v>508216377.9673596</v>
      </c>
      <c r="N6" s="94" t="str">
        <f>IF(ROUND(N308,5)=0,"OK","ERREUR")</f>
        <v>OK</v>
      </c>
      <c r="O6" s="42"/>
      <c r="P6" s="615">
        <f>Paramètres!U5</f>
        <v>0.6</v>
      </c>
      <c r="Q6" s="616"/>
      <c r="R6" s="410">
        <f>R308</f>
        <v>144255069.03890795</v>
      </c>
      <c r="S6" s="410">
        <f>S308</f>
        <v>-86553041.423344791</v>
      </c>
      <c r="T6" s="410">
        <f>-S308</f>
        <v>86553041.423344791</v>
      </c>
      <c r="U6" s="94" t="str">
        <f>IF(ROUND(U308,5)=0,"OK","ERREUR")</f>
        <v>OK</v>
      </c>
    </row>
    <row r="7" spans="1:21" s="72" customFormat="1" ht="37.5" customHeight="1" x14ac:dyDescent="0.25">
      <c r="A7" s="255" t="s">
        <v>0</v>
      </c>
      <c r="B7" s="255" t="s">
        <v>1</v>
      </c>
      <c r="C7" s="231" t="s">
        <v>29</v>
      </c>
      <c r="D7" s="593" t="s">
        <v>518</v>
      </c>
      <c r="E7" s="594"/>
      <c r="F7" s="594"/>
      <c r="G7" s="594"/>
      <c r="H7" s="594"/>
      <c r="I7" s="594"/>
      <c r="J7" s="595"/>
      <c r="K7" s="5"/>
      <c r="L7" s="259" t="s">
        <v>13</v>
      </c>
      <c r="M7" s="260" t="s">
        <v>14</v>
      </c>
      <c r="N7" s="259" t="s">
        <v>12</v>
      </c>
      <c r="O7" s="74"/>
      <c r="P7" s="287" t="str">
        <f>CONCATENATE("Déficit selon budget ",Paramètres!O5)</f>
        <v>Déficit selon budget 2024</v>
      </c>
      <c r="Q7" s="287" t="str">
        <f>CONCATENATE("Solde du déficit ",Paramètres!O5-1)</f>
        <v>Solde du déficit 2023</v>
      </c>
      <c r="R7" s="287" t="s">
        <v>551</v>
      </c>
      <c r="S7" s="287" t="s">
        <v>13</v>
      </c>
      <c r="T7" s="241" t="s">
        <v>14</v>
      </c>
      <c r="U7" s="241" t="s">
        <v>12</v>
      </c>
    </row>
    <row r="8" spans="1:21" x14ac:dyDescent="0.25">
      <c r="A8" s="200">
        <f>Données!A8</f>
        <v>5401</v>
      </c>
      <c r="B8" s="201" t="str">
        <f>Données!B8</f>
        <v>Aigle</v>
      </c>
      <c r="C8" s="373">
        <f>Données!C8</f>
        <v>11780</v>
      </c>
      <c r="D8" s="374">
        <f t="shared" ref="D8:D71" si="0">IF(C8&gt;$D$5,$D$5-$D$4,C8)</f>
        <v>1000</v>
      </c>
      <c r="E8" s="374">
        <f t="shared" ref="E8:I8" si="1">IF($C8&lt;E$4,0,IF($C8&gt;E$5,E$5-E$4,$C8-E$4))</f>
        <v>2000</v>
      </c>
      <c r="F8" s="375">
        <f t="shared" si="1"/>
        <v>8780</v>
      </c>
      <c r="G8" s="376">
        <f t="shared" si="1"/>
        <v>0</v>
      </c>
      <c r="H8" s="374">
        <f t="shared" si="1"/>
        <v>0</v>
      </c>
      <c r="I8" s="375">
        <f t="shared" si="1"/>
        <v>0</v>
      </c>
      <c r="J8" s="377">
        <f t="shared" ref="J8:J71" si="2">IF($C8&lt;J$4,0,$C8-J$4)</f>
        <v>0</v>
      </c>
      <c r="K8" s="378"/>
      <c r="L8" s="379">
        <f t="shared" ref="L8:L71" si="3">-SUMPRODUCT($D$6:$J$6,D8:J8)</f>
        <v>-6712104.3521266077</v>
      </c>
      <c r="M8" s="375">
        <f>(-$L$6)/($C$308)*C8</f>
        <v>6995963.6908199657</v>
      </c>
      <c r="N8" s="380">
        <f t="shared" ref="N8:N71" si="4">SUM(L8:M8)</f>
        <v>283859.338693358</v>
      </c>
      <c r="O8" s="381"/>
      <c r="P8" s="382">
        <f>Données!AC8</f>
        <v>1604810</v>
      </c>
      <c r="Q8" s="383">
        <f>Données!AD8</f>
        <v>-43474</v>
      </c>
      <c r="R8" s="384">
        <f>SUM(P8:Q8)</f>
        <v>1561336</v>
      </c>
      <c r="S8" s="385">
        <f>-R8*$P$6</f>
        <v>-936801.6</v>
      </c>
      <c r="T8" s="384">
        <f>-$S$6/$C$308*C8</f>
        <v>1191464.819669087</v>
      </c>
      <c r="U8" s="386">
        <f t="shared" ref="U8:U71" si="5">S8+T8</f>
        <v>254663.21966908698</v>
      </c>
    </row>
    <row r="9" spans="1:21" ht="15" customHeight="1" x14ac:dyDescent="0.25">
      <c r="A9" s="202">
        <f>Données!A9</f>
        <v>5402</v>
      </c>
      <c r="B9" s="203" t="str">
        <f>Données!B9</f>
        <v>Bex</v>
      </c>
      <c r="C9" s="387">
        <f>Données!C9</f>
        <v>8806</v>
      </c>
      <c r="D9" s="379">
        <f t="shared" si="0"/>
        <v>1000</v>
      </c>
      <c r="E9" s="379">
        <f t="shared" ref="E9:E72" si="6">IF(C9&lt;$E$4,0,IF(C9&gt;$E$5,$E$5-$E$4,C9-$E$4))</f>
        <v>2000</v>
      </c>
      <c r="F9" s="388">
        <f t="shared" ref="F9:I18" si="7">IF($C9&lt;F$4,0,IF($C9&gt;F$5,F$5-F$4,$C9-F$4))</f>
        <v>5806</v>
      </c>
      <c r="G9" s="378">
        <f t="shared" si="7"/>
        <v>0</v>
      </c>
      <c r="H9" s="379">
        <f t="shared" si="7"/>
        <v>0</v>
      </c>
      <c r="I9" s="388">
        <f t="shared" si="7"/>
        <v>0</v>
      </c>
      <c r="J9" s="389">
        <f t="shared" si="2"/>
        <v>0</v>
      </c>
      <c r="K9" s="378"/>
      <c r="L9" s="379">
        <f t="shared" si="3"/>
        <v>-4735688.6745796241</v>
      </c>
      <c r="M9" s="388">
        <f t="shared" ref="M9:M72" si="8">(-$L$6)/($C$308)*C9</f>
        <v>5229750.107076453</v>
      </c>
      <c r="N9" s="390">
        <f t="shared" si="4"/>
        <v>494061.43249682896</v>
      </c>
      <c r="O9" s="381"/>
      <c r="P9" s="391">
        <f>Données!AC9</f>
        <v>753095</v>
      </c>
      <c r="Q9" s="392">
        <f>Données!AD9</f>
        <v>-20401</v>
      </c>
      <c r="R9" s="393">
        <f t="shared" ref="R9:R72" si="9">SUM(P9:Q9)</f>
        <v>732694</v>
      </c>
      <c r="S9" s="394">
        <f t="shared" ref="S9:S72" si="10">-R9*$P$6</f>
        <v>-439616.39999999997</v>
      </c>
      <c r="T9" s="393">
        <f t="shared" ref="T9:T72" si="11">-$S$6/$C$308*C9</f>
        <v>890665.46706332604</v>
      </c>
      <c r="U9" s="395">
        <f t="shared" si="5"/>
        <v>451049.06706332607</v>
      </c>
    </row>
    <row r="10" spans="1:21" x14ac:dyDescent="0.25">
      <c r="A10" s="202">
        <f>Données!A10</f>
        <v>5403</v>
      </c>
      <c r="B10" s="203" t="str">
        <f>Données!B10</f>
        <v>Chessel</v>
      </c>
      <c r="C10" s="387">
        <f>Données!C10</f>
        <v>528</v>
      </c>
      <c r="D10" s="379">
        <f t="shared" si="0"/>
        <v>528</v>
      </c>
      <c r="E10" s="379">
        <f t="shared" si="6"/>
        <v>0</v>
      </c>
      <c r="F10" s="388">
        <f t="shared" si="7"/>
        <v>0</v>
      </c>
      <c r="G10" s="378">
        <f t="shared" si="7"/>
        <v>0</v>
      </c>
      <c r="H10" s="379">
        <f t="shared" si="7"/>
        <v>0</v>
      </c>
      <c r="I10" s="388">
        <f t="shared" si="7"/>
        <v>0</v>
      </c>
      <c r="J10" s="389">
        <f t="shared" si="2"/>
        <v>0</v>
      </c>
      <c r="K10" s="378"/>
      <c r="L10" s="379">
        <f t="shared" si="3"/>
        <v>-70178.041543026702</v>
      </c>
      <c r="M10" s="388">
        <f t="shared" si="8"/>
        <v>313571.20787376416</v>
      </c>
      <c r="N10" s="390">
        <f t="shared" si="4"/>
        <v>243393.16633073747</v>
      </c>
      <c r="O10" s="381"/>
      <c r="P10" s="391">
        <f>Données!AC10</f>
        <v>0</v>
      </c>
      <c r="Q10" s="392">
        <f>Données!AD10</f>
        <v>0</v>
      </c>
      <c r="R10" s="393">
        <f t="shared" si="9"/>
        <v>0</v>
      </c>
      <c r="S10" s="394">
        <f t="shared" si="10"/>
        <v>0</v>
      </c>
      <c r="T10" s="393">
        <f t="shared" si="11"/>
        <v>53403.516535252798</v>
      </c>
      <c r="U10" s="395">
        <f t="shared" si="5"/>
        <v>53403.516535252798</v>
      </c>
    </row>
    <row r="11" spans="1:21" x14ac:dyDescent="0.25">
      <c r="A11" s="202">
        <f>Données!A11</f>
        <v>5404</v>
      </c>
      <c r="B11" s="203" t="str">
        <f>Données!B11</f>
        <v>Corbeyrier</v>
      </c>
      <c r="C11" s="387">
        <f>Données!C11</f>
        <v>452</v>
      </c>
      <c r="D11" s="379">
        <f t="shared" si="0"/>
        <v>452</v>
      </c>
      <c r="E11" s="379">
        <f t="shared" si="6"/>
        <v>0</v>
      </c>
      <c r="F11" s="388">
        <f t="shared" si="7"/>
        <v>0</v>
      </c>
      <c r="G11" s="378">
        <f t="shared" si="7"/>
        <v>0</v>
      </c>
      <c r="H11" s="379">
        <f t="shared" si="7"/>
        <v>0</v>
      </c>
      <c r="I11" s="388">
        <f t="shared" si="7"/>
        <v>0</v>
      </c>
      <c r="J11" s="389">
        <f t="shared" si="2"/>
        <v>0</v>
      </c>
      <c r="K11" s="378"/>
      <c r="L11" s="379">
        <f t="shared" si="3"/>
        <v>-60076.656775469826</v>
      </c>
      <c r="M11" s="388">
        <f t="shared" si="8"/>
        <v>268435.95825557085</v>
      </c>
      <c r="N11" s="390">
        <f t="shared" si="4"/>
        <v>208359.30148010101</v>
      </c>
      <c r="O11" s="381"/>
      <c r="P11" s="391">
        <f>Données!AC11</f>
        <v>0</v>
      </c>
      <c r="Q11" s="392">
        <f>Données!AD11</f>
        <v>0</v>
      </c>
      <c r="R11" s="393">
        <f t="shared" si="9"/>
        <v>0</v>
      </c>
      <c r="S11" s="394">
        <f t="shared" si="10"/>
        <v>0</v>
      </c>
      <c r="T11" s="393">
        <f t="shared" si="11"/>
        <v>45716.646730936111</v>
      </c>
      <c r="U11" s="395">
        <f t="shared" si="5"/>
        <v>45716.646730936111</v>
      </c>
    </row>
    <row r="12" spans="1:21" x14ac:dyDescent="0.25">
      <c r="A12" s="202">
        <f>Données!A12</f>
        <v>5405</v>
      </c>
      <c r="B12" s="203" t="str">
        <f>Données!B12</f>
        <v>Gryon</v>
      </c>
      <c r="C12" s="387">
        <f>Données!C12</f>
        <v>1525</v>
      </c>
      <c r="D12" s="379">
        <f t="shared" si="0"/>
        <v>1000</v>
      </c>
      <c r="E12" s="379">
        <f t="shared" si="6"/>
        <v>525</v>
      </c>
      <c r="F12" s="388">
        <f t="shared" si="7"/>
        <v>0</v>
      </c>
      <c r="G12" s="378">
        <f t="shared" si="7"/>
        <v>0</v>
      </c>
      <c r="H12" s="379">
        <f t="shared" si="7"/>
        <v>0</v>
      </c>
      <c r="I12" s="388">
        <f t="shared" si="7"/>
        <v>0</v>
      </c>
      <c r="J12" s="389">
        <f t="shared" si="2"/>
        <v>0</v>
      </c>
      <c r="K12" s="378"/>
      <c r="L12" s="379">
        <f t="shared" si="3"/>
        <v>-328295.00494559843</v>
      </c>
      <c r="M12" s="388">
        <f t="shared" si="8"/>
        <v>905674.41668085288</v>
      </c>
      <c r="N12" s="390">
        <f t="shared" si="4"/>
        <v>577379.41173525446</v>
      </c>
      <c r="O12" s="381"/>
      <c r="P12" s="391">
        <f>Données!AC12</f>
        <v>0</v>
      </c>
      <c r="Q12" s="392">
        <f>Données!AD12</f>
        <v>0</v>
      </c>
      <c r="R12" s="393">
        <f t="shared" si="9"/>
        <v>0</v>
      </c>
      <c r="S12" s="394">
        <f t="shared" si="10"/>
        <v>0</v>
      </c>
      <c r="T12" s="393">
        <f t="shared" si="11"/>
        <v>154243.11120503885</v>
      </c>
      <c r="U12" s="395">
        <f t="shared" si="5"/>
        <v>154243.11120503885</v>
      </c>
    </row>
    <row r="13" spans="1:21" x14ac:dyDescent="0.25">
      <c r="A13" s="202">
        <f>Données!A13</f>
        <v>5406</v>
      </c>
      <c r="B13" s="203" t="str">
        <f>Données!B13</f>
        <v>Lavey-Morcles</v>
      </c>
      <c r="C13" s="387">
        <f>Données!C13</f>
        <v>1014</v>
      </c>
      <c r="D13" s="379">
        <f t="shared" si="0"/>
        <v>1000</v>
      </c>
      <c r="E13" s="379">
        <f t="shared" si="6"/>
        <v>14</v>
      </c>
      <c r="F13" s="388">
        <f t="shared" si="7"/>
        <v>0</v>
      </c>
      <c r="G13" s="378">
        <f t="shared" si="7"/>
        <v>0</v>
      </c>
      <c r="H13" s="379">
        <f t="shared" si="7"/>
        <v>0</v>
      </c>
      <c r="I13" s="388">
        <f t="shared" si="7"/>
        <v>0</v>
      </c>
      <c r="J13" s="389">
        <f t="shared" si="2"/>
        <v>0</v>
      </c>
      <c r="K13" s="378"/>
      <c r="L13" s="379">
        <f t="shared" si="3"/>
        <v>-138123.14540059346</v>
      </c>
      <c r="M13" s="388">
        <f t="shared" si="8"/>
        <v>602199.25148484251</v>
      </c>
      <c r="N13" s="390">
        <f t="shared" si="4"/>
        <v>464076.10608424904</v>
      </c>
      <c r="O13" s="381"/>
      <c r="P13" s="391">
        <f>Données!AC13</f>
        <v>0</v>
      </c>
      <c r="Q13" s="392">
        <f>Données!AD13</f>
        <v>0</v>
      </c>
      <c r="R13" s="393">
        <f t="shared" si="9"/>
        <v>0</v>
      </c>
      <c r="S13" s="394">
        <f t="shared" si="10"/>
        <v>0</v>
      </c>
      <c r="T13" s="393">
        <f t="shared" si="11"/>
        <v>102559.02607338321</v>
      </c>
      <c r="U13" s="395">
        <f t="shared" si="5"/>
        <v>102559.02607338321</v>
      </c>
    </row>
    <row r="14" spans="1:21" x14ac:dyDescent="0.25">
      <c r="A14" s="202">
        <f>Données!A14</f>
        <v>5407</v>
      </c>
      <c r="B14" s="203" t="str">
        <f>Données!B14</f>
        <v>Leysin</v>
      </c>
      <c r="C14" s="387">
        <f>Données!C14</f>
        <v>3685</v>
      </c>
      <c r="D14" s="379">
        <f t="shared" si="0"/>
        <v>1000</v>
      </c>
      <c r="E14" s="379">
        <f t="shared" si="6"/>
        <v>2000</v>
      </c>
      <c r="F14" s="388">
        <f t="shared" si="7"/>
        <v>685</v>
      </c>
      <c r="G14" s="378">
        <f t="shared" si="7"/>
        <v>0</v>
      </c>
      <c r="H14" s="379">
        <f t="shared" si="7"/>
        <v>0</v>
      </c>
      <c r="I14" s="388">
        <f t="shared" si="7"/>
        <v>0</v>
      </c>
      <c r="J14" s="389">
        <f t="shared" si="2"/>
        <v>0</v>
      </c>
      <c r="K14" s="378"/>
      <c r="L14" s="379">
        <f t="shared" si="3"/>
        <v>-1332452.3986152327</v>
      </c>
      <c r="M14" s="388">
        <f t="shared" si="8"/>
        <v>2188465.7216189788</v>
      </c>
      <c r="N14" s="390">
        <f t="shared" si="4"/>
        <v>856013.3230037461</v>
      </c>
      <c r="O14" s="381"/>
      <c r="P14" s="391">
        <f>Données!AC14</f>
        <v>0</v>
      </c>
      <c r="Q14" s="392">
        <f>Données!AD14</f>
        <v>0</v>
      </c>
      <c r="R14" s="393">
        <f t="shared" si="9"/>
        <v>0</v>
      </c>
      <c r="S14" s="394">
        <f t="shared" si="10"/>
        <v>0</v>
      </c>
      <c r="T14" s="393">
        <f t="shared" si="11"/>
        <v>372712.0424856185</v>
      </c>
      <c r="U14" s="395">
        <f t="shared" si="5"/>
        <v>372712.0424856185</v>
      </c>
    </row>
    <row r="15" spans="1:21" x14ac:dyDescent="0.25">
      <c r="A15" s="202">
        <f>Données!A15</f>
        <v>5408</v>
      </c>
      <c r="B15" s="203" t="str">
        <f>Données!B15</f>
        <v>Noville</v>
      </c>
      <c r="C15" s="387">
        <f>Données!C15</f>
        <v>1208</v>
      </c>
      <c r="D15" s="379">
        <f t="shared" si="0"/>
        <v>1000</v>
      </c>
      <c r="E15" s="379">
        <f t="shared" si="6"/>
        <v>208</v>
      </c>
      <c r="F15" s="388">
        <f t="shared" si="7"/>
        <v>0</v>
      </c>
      <c r="G15" s="378">
        <f t="shared" si="7"/>
        <v>0</v>
      </c>
      <c r="H15" s="379">
        <f t="shared" si="7"/>
        <v>0</v>
      </c>
      <c r="I15" s="388">
        <f t="shared" si="7"/>
        <v>0</v>
      </c>
      <c r="J15" s="389">
        <f t="shared" si="2"/>
        <v>0</v>
      </c>
      <c r="K15" s="378"/>
      <c r="L15" s="379">
        <f t="shared" si="3"/>
        <v>-210321.46389713156</v>
      </c>
      <c r="M15" s="388">
        <f t="shared" si="8"/>
        <v>717412.91498391493</v>
      </c>
      <c r="N15" s="390">
        <f t="shared" si="4"/>
        <v>507091.45108678337</v>
      </c>
      <c r="O15" s="381"/>
      <c r="P15" s="391">
        <f>Données!AC15</f>
        <v>0</v>
      </c>
      <c r="Q15" s="392">
        <f>Données!AD15</f>
        <v>0</v>
      </c>
      <c r="R15" s="393">
        <f t="shared" si="9"/>
        <v>0</v>
      </c>
      <c r="S15" s="394">
        <f t="shared" si="10"/>
        <v>0</v>
      </c>
      <c r="T15" s="393">
        <f t="shared" si="11"/>
        <v>122180.77267913897</v>
      </c>
      <c r="U15" s="395">
        <f t="shared" si="5"/>
        <v>122180.77267913897</v>
      </c>
    </row>
    <row r="16" spans="1:21" x14ac:dyDescent="0.25">
      <c r="A16" s="202">
        <f>Données!A16</f>
        <v>5409</v>
      </c>
      <c r="B16" s="203" t="str">
        <f>Données!B16</f>
        <v>Ollon</v>
      </c>
      <c r="C16" s="387">
        <f>Données!C16</f>
        <v>8222</v>
      </c>
      <c r="D16" s="379">
        <f t="shared" si="0"/>
        <v>1000</v>
      </c>
      <c r="E16" s="379">
        <f t="shared" si="6"/>
        <v>2000</v>
      </c>
      <c r="F16" s="388">
        <f t="shared" si="7"/>
        <v>5222</v>
      </c>
      <c r="G16" s="378">
        <f t="shared" si="7"/>
        <v>0</v>
      </c>
      <c r="H16" s="379">
        <f t="shared" si="7"/>
        <v>0</v>
      </c>
      <c r="I16" s="388">
        <f t="shared" si="7"/>
        <v>0</v>
      </c>
      <c r="J16" s="389">
        <f t="shared" si="2"/>
        <v>0</v>
      </c>
      <c r="K16" s="378"/>
      <c r="L16" s="379">
        <f t="shared" si="3"/>
        <v>-4347582.8387734918</v>
      </c>
      <c r="M16" s="388">
        <f t="shared" si="8"/>
        <v>4882921.3468524413</v>
      </c>
      <c r="N16" s="390">
        <f t="shared" si="4"/>
        <v>535338.50807894953</v>
      </c>
      <c r="O16" s="381"/>
      <c r="P16" s="391">
        <f>Données!AC16</f>
        <v>878611</v>
      </c>
      <c r="Q16" s="392">
        <f>Données!AD16</f>
        <v>-23801</v>
      </c>
      <c r="R16" s="393">
        <f t="shared" si="9"/>
        <v>854810</v>
      </c>
      <c r="S16" s="394">
        <f t="shared" si="10"/>
        <v>-512886</v>
      </c>
      <c r="T16" s="393">
        <f t="shared" si="11"/>
        <v>831597.94119857671</v>
      </c>
      <c r="U16" s="395">
        <f t="shared" si="5"/>
        <v>318711.94119857671</v>
      </c>
    </row>
    <row r="17" spans="1:21" x14ac:dyDescent="0.25">
      <c r="A17" s="202">
        <f>Données!A17</f>
        <v>5410</v>
      </c>
      <c r="B17" s="203" t="str">
        <f>Données!B17</f>
        <v>Ormont-Dessous</v>
      </c>
      <c r="C17" s="387">
        <f>Données!C17</f>
        <v>1244</v>
      </c>
      <c r="D17" s="379">
        <f t="shared" si="0"/>
        <v>1000</v>
      </c>
      <c r="E17" s="379">
        <f t="shared" si="6"/>
        <v>244</v>
      </c>
      <c r="F17" s="388">
        <f t="shared" si="7"/>
        <v>0</v>
      </c>
      <c r="G17" s="378">
        <f t="shared" si="7"/>
        <v>0</v>
      </c>
      <c r="H17" s="379">
        <f t="shared" si="7"/>
        <v>0</v>
      </c>
      <c r="I17" s="388">
        <f t="shared" si="7"/>
        <v>0</v>
      </c>
      <c r="J17" s="389">
        <f t="shared" si="2"/>
        <v>0</v>
      </c>
      <c r="K17" s="378"/>
      <c r="L17" s="379">
        <f t="shared" si="3"/>
        <v>-223719.0900098912</v>
      </c>
      <c r="M17" s="388">
        <f t="shared" si="8"/>
        <v>738792.77006621705</v>
      </c>
      <c r="N17" s="390">
        <f t="shared" si="4"/>
        <v>515073.68005632586</v>
      </c>
      <c r="O17" s="381"/>
      <c r="P17" s="391">
        <f>Données!AC17</f>
        <v>0</v>
      </c>
      <c r="Q17" s="392">
        <f>Données!AD17</f>
        <v>0</v>
      </c>
      <c r="R17" s="393">
        <f t="shared" si="9"/>
        <v>0</v>
      </c>
      <c r="S17" s="394">
        <f t="shared" si="10"/>
        <v>0</v>
      </c>
      <c r="T17" s="393">
        <f t="shared" si="11"/>
        <v>125821.9215338153</v>
      </c>
      <c r="U17" s="395">
        <f t="shared" si="5"/>
        <v>125821.9215338153</v>
      </c>
    </row>
    <row r="18" spans="1:21" x14ac:dyDescent="0.25">
      <c r="A18" s="202">
        <f>Données!A18</f>
        <v>5411</v>
      </c>
      <c r="B18" s="203" t="str">
        <f>Données!B18</f>
        <v>Ormont-Dessus</v>
      </c>
      <c r="C18" s="387">
        <f>Données!C18</f>
        <v>1435</v>
      </c>
      <c r="D18" s="379">
        <f t="shared" si="0"/>
        <v>1000</v>
      </c>
      <c r="E18" s="379">
        <f t="shared" si="6"/>
        <v>435</v>
      </c>
      <c r="F18" s="388">
        <f t="shared" si="7"/>
        <v>0</v>
      </c>
      <c r="G18" s="378">
        <f t="shared" si="7"/>
        <v>0</v>
      </c>
      <c r="H18" s="379">
        <f t="shared" si="7"/>
        <v>0</v>
      </c>
      <c r="I18" s="388">
        <f t="shared" si="7"/>
        <v>0</v>
      </c>
      <c r="J18" s="389">
        <f t="shared" si="2"/>
        <v>0</v>
      </c>
      <c r="K18" s="378"/>
      <c r="L18" s="379">
        <f t="shared" si="3"/>
        <v>-294800.93966369936</v>
      </c>
      <c r="M18" s="388">
        <f t="shared" si="8"/>
        <v>852224.77897509758</v>
      </c>
      <c r="N18" s="390">
        <f t="shared" si="4"/>
        <v>557423.83931139822</v>
      </c>
      <c r="O18" s="381"/>
      <c r="P18" s="391">
        <f>Données!AC18</f>
        <v>0</v>
      </c>
      <c r="Q18" s="392">
        <f>Données!AD18</f>
        <v>0</v>
      </c>
      <c r="R18" s="393">
        <f t="shared" si="9"/>
        <v>0</v>
      </c>
      <c r="S18" s="394">
        <f t="shared" si="10"/>
        <v>0</v>
      </c>
      <c r="T18" s="393">
        <f t="shared" si="11"/>
        <v>145140.23906834805</v>
      </c>
      <c r="U18" s="395">
        <f t="shared" si="5"/>
        <v>145140.23906834805</v>
      </c>
    </row>
    <row r="19" spans="1:21" x14ac:dyDescent="0.25">
      <c r="A19" s="202">
        <f>Données!A19</f>
        <v>5412</v>
      </c>
      <c r="B19" s="203" t="str">
        <f>Données!B19</f>
        <v>Rennaz</v>
      </c>
      <c r="C19" s="387">
        <f>Données!C19</f>
        <v>949</v>
      </c>
      <c r="D19" s="379">
        <f t="shared" si="0"/>
        <v>949</v>
      </c>
      <c r="E19" s="379">
        <f t="shared" si="6"/>
        <v>0</v>
      </c>
      <c r="F19" s="388">
        <f t="shared" ref="F19:I28" si="12">IF($C19&lt;F$4,0,IF($C19&gt;F$5,F$5-F$4,$C19-F$4))</f>
        <v>0</v>
      </c>
      <c r="G19" s="378">
        <f t="shared" si="12"/>
        <v>0</v>
      </c>
      <c r="H19" s="379">
        <f t="shared" si="12"/>
        <v>0</v>
      </c>
      <c r="I19" s="388">
        <f t="shared" si="12"/>
        <v>0</v>
      </c>
      <c r="J19" s="389">
        <f t="shared" si="2"/>
        <v>0</v>
      </c>
      <c r="K19" s="378"/>
      <c r="L19" s="379">
        <f t="shared" si="3"/>
        <v>-126134.39663699307</v>
      </c>
      <c r="M19" s="388">
        <f t="shared" si="8"/>
        <v>563596.73536401929</v>
      </c>
      <c r="N19" s="390">
        <f t="shared" si="4"/>
        <v>437462.33872702625</v>
      </c>
      <c r="O19" s="381"/>
      <c r="P19" s="391">
        <f>Données!AC19</f>
        <v>0</v>
      </c>
      <c r="Q19" s="392">
        <f>Données!AD19</f>
        <v>0</v>
      </c>
      <c r="R19" s="393">
        <f t="shared" si="9"/>
        <v>0</v>
      </c>
      <c r="S19" s="394">
        <f t="shared" si="10"/>
        <v>0</v>
      </c>
      <c r="T19" s="393">
        <f t="shared" si="11"/>
        <v>95984.729530217621</v>
      </c>
      <c r="U19" s="395">
        <f t="shared" si="5"/>
        <v>95984.729530217621</v>
      </c>
    </row>
    <row r="20" spans="1:21" x14ac:dyDescent="0.25">
      <c r="A20" s="202">
        <f>Données!A20</f>
        <v>5413</v>
      </c>
      <c r="B20" s="203" t="str">
        <f>Données!B20</f>
        <v>Roche</v>
      </c>
      <c r="C20" s="387">
        <f>Données!C20</f>
        <v>1996</v>
      </c>
      <c r="D20" s="379">
        <f t="shared" si="0"/>
        <v>1000</v>
      </c>
      <c r="E20" s="379">
        <f t="shared" si="6"/>
        <v>996</v>
      </c>
      <c r="F20" s="388">
        <f t="shared" si="12"/>
        <v>0</v>
      </c>
      <c r="G20" s="378">
        <f t="shared" si="12"/>
        <v>0</v>
      </c>
      <c r="H20" s="379">
        <f t="shared" si="12"/>
        <v>0</v>
      </c>
      <c r="I20" s="388">
        <f t="shared" si="12"/>
        <v>0</v>
      </c>
      <c r="J20" s="389">
        <f t="shared" si="2"/>
        <v>0</v>
      </c>
      <c r="K20" s="378"/>
      <c r="L20" s="379">
        <f t="shared" si="3"/>
        <v>-503580.61325420381</v>
      </c>
      <c r="M20" s="388">
        <f t="shared" si="8"/>
        <v>1185394.187340972</v>
      </c>
      <c r="N20" s="390">
        <f t="shared" si="4"/>
        <v>681813.5740867682</v>
      </c>
      <c r="O20" s="381"/>
      <c r="P20" s="391">
        <f>Données!AC20</f>
        <v>0</v>
      </c>
      <c r="Q20" s="392">
        <f>Données!AD20</f>
        <v>0</v>
      </c>
      <c r="R20" s="393">
        <f t="shared" si="9"/>
        <v>0</v>
      </c>
      <c r="S20" s="394">
        <f t="shared" si="10"/>
        <v>0</v>
      </c>
      <c r="T20" s="393">
        <f t="shared" si="11"/>
        <v>201881.47538705415</v>
      </c>
      <c r="U20" s="395">
        <f t="shared" si="5"/>
        <v>201881.47538705415</v>
      </c>
    </row>
    <row r="21" spans="1:21" x14ac:dyDescent="0.25">
      <c r="A21" s="202">
        <f>Données!A21</f>
        <v>5414</v>
      </c>
      <c r="B21" s="203" t="str">
        <f>Données!B21</f>
        <v>Villeneuve</v>
      </c>
      <c r="C21" s="387">
        <f>Données!C21</f>
        <v>6039</v>
      </c>
      <c r="D21" s="379">
        <f t="shared" si="0"/>
        <v>1000</v>
      </c>
      <c r="E21" s="379">
        <f t="shared" si="6"/>
        <v>2000</v>
      </c>
      <c r="F21" s="388">
        <f t="shared" si="12"/>
        <v>3039</v>
      </c>
      <c r="G21" s="378">
        <f t="shared" si="12"/>
        <v>0</v>
      </c>
      <c r="H21" s="379">
        <f t="shared" si="12"/>
        <v>0</v>
      </c>
      <c r="I21" s="388">
        <f t="shared" si="12"/>
        <v>0</v>
      </c>
      <c r="J21" s="389">
        <f t="shared" si="2"/>
        <v>0</v>
      </c>
      <c r="K21" s="378"/>
      <c r="L21" s="379">
        <f t="shared" si="3"/>
        <v>-2896837.9080118695</v>
      </c>
      <c r="M21" s="388">
        <f t="shared" si="8"/>
        <v>3586470.6900561773</v>
      </c>
      <c r="N21" s="390">
        <f t="shared" si="4"/>
        <v>689632.78204430779</v>
      </c>
      <c r="O21" s="381"/>
      <c r="P21" s="391">
        <f>Données!AC21</f>
        <v>905032</v>
      </c>
      <c r="Q21" s="392">
        <f>Données!AD21</f>
        <v>-208094</v>
      </c>
      <c r="R21" s="393">
        <f t="shared" si="9"/>
        <v>696938</v>
      </c>
      <c r="S21" s="394">
        <f t="shared" si="10"/>
        <v>-418162.8</v>
      </c>
      <c r="T21" s="393">
        <f t="shared" si="11"/>
        <v>610802.72037195391</v>
      </c>
      <c r="U21" s="395">
        <f t="shared" si="5"/>
        <v>192639.92037195392</v>
      </c>
    </row>
    <row r="22" spans="1:21" x14ac:dyDescent="0.25">
      <c r="A22" s="202">
        <f>Données!A22</f>
        <v>5415</v>
      </c>
      <c r="B22" s="203" t="str">
        <f>Données!B22</f>
        <v>Yvorne</v>
      </c>
      <c r="C22" s="387">
        <f>Données!C22</f>
        <v>1110</v>
      </c>
      <c r="D22" s="379">
        <f t="shared" si="0"/>
        <v>1000</v>
      </c>
      <c r="E22" s="379">
        <f t="shared" si="6"/>
        <v>110</v>
      </c>
      <c r="F22" s="388">
        <f t="shared" si="12"/>
        <v>0</v>
      </c>
      <c r="G22" s="378">
        <f t="shared" si="12"/>
        <v>0</v>
      </c>
      <c r="H22" s="379">
        <f t="shared" si="12"/>
        <v>0</v>
      </c>
      <c r="I22" s="388">
        <f t="shared" si="12"/>
        <v>0</v>
      </c>
      <c r="J22" s="389">
        <f t="shared" si="2"/>
        <v>0</v>
      </c>
      <c r="K22" s="378"/>
      <c r="L22" s="379">
        <f t="shared" si="3"/>
        <v>-173850.14836795253</v>
      </c>
      <c r="M22" s="388">
        <f t="shared" si="8"/>
        <v>659212.1983709815</v>
      </c>
      <c r="N22" s="390">
        <f t="shared" si="4"/>
        <v>485362.05000302894</v>
      </c>
      <c r="O22" s="381"/>
      <c r="P22" s="391">
        <f>Données!AC22</f>
        <v>259997</v>
      </c>
      <c r="Q22" s="392">
        <f>Données!AD22</f>
        <v>-7043</v>
      </c>
      <c r="R22" s="393">
        <f t="shared" si="9"/>
        <v>252954</v>
      </c>
      <c r="S22" s="394">
        <f t="shared" si="10"/>
        <v>-151772.4</v>
      </c>
      <c r="T22" s="393">
        <f t="shared" si="11"/>
        <v>112268.75635252008</v>
      </c>
      <c r="U22" s="395">
        <f t="shared" si="5"/>
        <v>-39503.643647479912</v>
      </c>
    </row>
    <row r="23" spans="1:21" x14ac:dyDescent="0.25">
      <c r="A23" s="202">
        <f>Données!A23</f>
        <v>5422</v>
      </c>
      <c r="B23" s="203" t="str">
        <f>Données!B23</f>
        <v>Aubonne</v>
      </c>
      <c r="C23" s="387">
        <f>Données!C23</f>
        <v>3862</v>
      </c>
      <c r="D23" s="379">
        <f t="shared" si="0"/>
        <v>1000</v>
      </c>
      <c r="E23" s="379">
        <f t="shared" si="6"/>
        <v>2000</v>
      </c>
      <c r="F23" s="388">
        <f t="shared" si="12"/>
        <v>862</v>
      </c>
      <c r="G23" s="378">
        <f t="shared" si="12"/>
        <v>0</v>
      </c>
      <c r="H23" s="379">
        <f t="shared" si="12"/>
        <v>0</v>
      </c>
      <c r="I23" s="388">
        <f t="shared" si="12"/>
        <v>0</v>
      </c>
      <c r="J23" s="389">
        <f t="shared" si="2"/>
        <v>0</v>
      </c>
      <c r="K23" s="378"/>
      <c r="L23" s="379">
        <f t="shared" si="3"/>
        <v>-1450080.3659742828</v>
      </c>
      <c r="M23" s="388">
        <f t="shared" si="8"/>
        <v>2293583.3424402978</v>
      </c>
      <c r="N23" s="390">
        <f t="shared" si="4"/>
        <v>843502.97646601498</v>
      </c>
      <c r="O23" s="381"/>
      <c r="P23" s="391">
        <f>Données!AC23</f>
        <v>0</v>
      </c>
      <c r="Q23" s="392">
        <f>Données!AD23</f>
        <v>0</v>
      </c>
      <c r="R23" s="393">
        <f t="shared" si="9"/>
        <v>0</v>
      </c>
      <c r="S23" s="394">
        <f t="shared" si="10"/>
        <v>0</v>
      </c>
      <c r="T23" s="393">
        <f t="shared" si="11"/>
        <v>390614.35768777708</v>
      </c>
      <c r="U23" s="395">
        <f t="shared" si="5"/>
        <v>390614.35768777708</v>
      </c>
    </row>
    <row r="24" spans="1:21" x14ac:dyDescent="0.25">
      <c r="A24" s="202">
        <f>Données!A24</f>
        <v>5423</v>
      </c>
      <c r="B24" s="203" t="str">
        <f>Données!B24</f>
        <v>Ballens</v>
      </c>
      <c r="C24" s="387">
        <f>Données!C24</f>
        <v>579</v>
      </c>
      <c r="D24" s="379">
        <f t="shared" si="0"/>
        <v>579</v>
      </c>
      <c r="E24" s="379">
        <f t="shared" si="6"/>
        <v>0</v>
      </c>
      <c r="F24" s="388">
        <f t="shared" si="12"/>
        <v>0</v>
      </c>
      <c r="G24" s="378">
        <f t="shared" si="12"/>
        <v>0</v>
      </c>
      <c r="H24" s="379">
        <f t="shared" si="12"/>
        <v>0</v>
      </c>
      <c r="I24" s="388">
        <f t="shared" si="12"/>
        <v>0</v>
      </c>
      <c r="J24" s="389">
        <f t="shared" si="2"/>
        <v>0</v>
      </c>
      <c r="K24" s="378"/>
      <c r="L24" s="379">
        <f t="shared" si="3"/>
        <v>-76956.602373887232</v>
      </c>
      <c r="M24" s="388">
        <f t="shared" si="8"/>
        <v>343859.33590702544</v>
      </c>
      <c r="N24" s="390">
        <f t="shared" si="4"/>
        <v>266902.73353313818</v>
      </c>
      <c r="O24" s="381"/>
      <c r="P24" s="391">
        <f>Données!AC24</f>
        <v>0</v>
      </c>
      <c r="Q24" s="392">
        <f>Données!AD24</f>
        <v>0</v>
      </c>
      <c r="R24" s="393">
        <f t="shared" si="9"/>
        <v>0</v>
      </c>
      <c r="S24" s="394">
        <f t="shared" si="10"/>
        <v>0</v>
      </c>
      <c r="T24" s="393">
        <f t="shared" si="11"/>
        <v>58561.810746044262</v>
      </c>
      <c r="U24" s="395">
        <f t="shared" si="5"/>
        <v>58561.810746044262</v>
      </c>
    </row>
    <row r="25" spans="1:21" x14ac:dyDescent="0.25">
      <c r="A25" s="202">
        <f>Données!A25</f>
        <v>5424</v>
      </c>
      <c r="B25" s="203" t="str">
        <f>Données!B25</f>
        <v>Berolle</v>
      </c>
      <c r="C25" s="387">
        <f>Données!C25</f>
        <v>303</v>
      </c>
      <c r="D25" s="379">
        <f t="shared" si="0"/>
        <v>303</v>
      </c>
      <c r="E25" s="379">
        <f t="shared" si="6"/>
        <v>0</v>
      </c>
      <c r="F25" s="388">
        <f t="shared" si="12"/>
        <v>0</v>
      </c>
      <c r="G25" s="378">
        <f t="shared" si="12"/>
        <v>0</v>
      </c>
      <c r="H25" s="379">
        <f t="shared" si="12"/>
        <v>0</v>
      </c>
      <c r="I25" s="388">
        <f t="shared" si="12"/>
        <v>0</v>
      </c>
      <c r="J25" s="389">
        <f t="shared" si="2"/>
        <v>0</v>
      </c>
      <c r="K25" s="378"/>
      <c r="L25" s="379">
        <f t="shared" si="3"/>
        <v>-40272.626112759644</v>
      </c>
      <c r="M25" s="388">
        <f t="shared" si="8"/>
        <v>179947.11360937601</v>
      </c>
      <c r="N25" s="390">
        <f t="shared" si="4"/>
        <v>139674.48749661638</v>
      </c>
      <c r="O25" s="381"/>
      <c r="P25" s="391">
        <f>Données!AC25</f>
        <v>0</v>
      </c>
      <c r="Q25" s="392">
        <f>Données!AD25</f>
        <v>0</v>
      </c>
      <c r="R25" s="393">
        <f t="shared" si="9"/>
        <v>0</v>
      </c>
      <c r="S25" s="394">
        <f t="shared" si="10"/>
        <v>0</v>
      </c>
      <c r="T25" s="393">
        <f t="shared" si="11"/>
        <v>30646.336193525753</v>
      </c>
      <c r="U25" s="395">
        <f t="shared" si="5"/>
        <v>30646.336193525753</v>
      </c>
    </row>
    <row r="26" spans="1:21" x14ac:dyDescent="0.25">
      <c r="A26" s="202">
        <f>Données!A26</f>
        <v>5425</v>
      </c>
      <c r="B26" s="203" t="str">
        <f>Données!B26</f>
        <v>Bière</v>
      </c>
      <c r="C26" s="387">
        <f>Données!C26</f>
        <v>1680</v>
      </c>
      <c r="D26" s="379">
        <f t="shared" si="0"/>
        <v>1000</v>
      </c>
      <c r="E26" s="379">
        <f t="shared" si="6"/>
        <v>680</v>
      </c>
      <c r="F26" s="388">
        <f t="shared" si="12"/>
        <v>0</v>
      </c>
      <c r="G26" s="378">
        <f t="shared" si="12"/>
        <v>0</v>
      </c>
      <c r="H26" s="379">
        <f t="shared" si="12"/>
        <v>0</v>
      </c>
      <c r="I26" s="388">
        <f t="shared" si="12"/>
        <v>0</v>
      </c>
      <c r="J26" s="389">
        <f t="shared" si="2"/>
        <v>0</v>
      </c>
      <c r="K26" s="378"/>
      <c r="L26" s="379">
        <f t="shared" si="3"/>
        <v>-385979.2284866469</v>
      </c>
      <c r="M26" s="388">
        <f t="shared" si="8"/>
        <v>997726.5705074314</v>
      </c>
      <c r="N26" s="390">
        <f t="shared" si="4"/>
        <v>611747.3420207845</v>
      </c>
      <c r="O26" s="381"/>
      <c r="P26" s="391">
        <f>Données!AC26</f>
        <v>0</v>
      </c>
      <c r="Q26" s="392">
        <f>Données!AD26</f>
        <v>0</v>
      </c>
      <c r="R26" s="393">
        <f t="shared" si="9"/>
        <v>0</v>
      </c>
      <c r="S26" s="394">
        <f t="shared" si="10"/>
        <v>0</v>
      </c>
      <c r="T26" s="393">
        <f t="shared" si="11"/>
        <v>169920.27988489528</v>
      </c>
      <c r="U26" s="395">
        <f t="shared" si="5"/>
        <v>169920.27988489528</v>
      </c>
    </row>
    <row r="27" spans="1:21" x14ac:dyDescent="0.25">
      <c r="A27" s="202">
        <f>Données!A27</f>
        <v>5426</v>
      </c>
      <c r="B27" s="203" t="str">
        <f>Données!B27</f>
        <v>Bougy-Villars</v>
      </c>
      <c r="C27" s="387">
        <f>Données!C27</f>
        <v>511</v>
      </c>
      <c r="D27" s="379">
        <f t="shared" si="0"/>
        <v>511</v>
      </c>
      <c r="E27" s="379">
        <f t="shared" si="6"/>
        <v>0</v>
      </c>
      <c r="F27" s="388">
        <f t="shared" si="12"/>
        <v>0</v>
      </c>
      <c r="G27" s="378">
        <f t="shared" si="12"/>
        <v>0</v>
      </c>
      <c r="H27" s="379">
        <f t="shared" si="12"/>
        <v>0</v>
      </c>
      <c r="I27" s="388">
        <f t="shared" si="12"/>
        <v>0</v>
      </c>
      <c r="J27" s="389">
        <f t="shared" si="2"/>
        <v>0</v>
      </c>
      <c r="K27" s="378"/>
      <c r="L27" s="379">
        <f t="shared" si="3"/>
        <v>-67918.521266073192</v>
      </c>
      <c r="M27" s="388">
        <f t="shared" si="8"/>
        <v>303475.16519601038</v>
      </c>
      <c r="N27" s="390">
        <f t="shared" si="4"/>
        <v>235556.64392993719</v>
      </c>
      <c r="O27" s="381"/>
      <c r="P27" s="391">
        <f>Données!AC27</f>
        <v>0</v>
      </c>
      <c r="Q27" s="392">
        <f>Données!AD27</f>
        <v>0</v>
      </c>
      <c r="R27" s="393">
        <f t="shared" si="9"/>
        <v>0</v>
      </c>
      <c r="S27" s="394">
        <f t="shared" si="10"/>
        <v>0</v>
      </c>
      <c r="T27" s="393">
        <f t="shared" si="11"/>
        <v>51684.085131655644</v>
      </c>
      <c r="U27" s="395">
        <f t="shared" si="5"/>
        <v>51684.085131655644</v>
      </c>
    </row>
    <row r="28" spans="1:21" x14ac:dyDescent="0.25">
      <c r="A28" s="202">
        <f>Données!A28</f>
        <v>5427</v>
      </c>
      <c r="B28" s="203" t="str">
        <f>Données!B28</f>
        <v>Féchy</v>
      </c>
      <c r="C28" s="387">
        <f>Données!C28</f>
        <v>919</v>
      </c>
      <c r="D28" s="379">
        <f t="shared" si="0"/>
        <v>919</v>
      </c>
      <c r="E28" s="379">
        <f t="shared" si="6"/>
        <v>0</v>
      </c>
      <c r="F28" s="388">
        <f t="shared" si="12"/>
        <v>0</v>
      </c>
      <c r="G28" s="378">
        <f t="shared" si="12"/>
        <v>0</v>
      </c>
      <c r="H28" s="379">
        <f t="shared" si="12"/>
        <v>0</v>
      </c>
      <c r="I28" s="388">
        <f t="shared" si="12"/>
        <v>0</v>
      </c>
      <c r="J28" s="389">
        <f t="shared" si="2"/>
        <v>0</v>
      </c>
      <c r="K28" s="378"/>
      <c r="L28" s="379">
        <f t="shared" si="3"/>
        <v>-122147.00791295746</v>
      </c>
      <c r="M28" s="388">
        <f t="shared" si="8"/>
        <v>545780.18946210085</v>
      </c>
      <c r="N28" s="390">
        <f t="shared" si="4"/>
        <v>423633.1815491434</v>
      </c>
      <c r="O28" s="381"/>
      <c r="P28" s="391">
        <f>Données!AC28</f>
        <v>0</v>
      </c>
      <c r="Q28" s="392">
        <f>Données!AD28</f>
        <v>0</v>
      </c>
      <c r="R28" s="393">
        <f t="shared" si="9"/>
        <v>0</v>
      </c>
      <c r="S28" s="394">
        <f t="shared" si="10"/>
        <v>0</v>
      </c>
      <c r="T28" s="393">
        <f t="shared" si="11"/>
        <v>92950.438817987349</v>
      </c>
      <c r="U28" s="395">
        <f t="shared" si="5"/>
        <v>92950.438817987349</v>
      </c>
    </row>
    <row r="29" spans="1:21" x14ac:dyDescent="0.25">
      <c r="A29" s="202">
        <f>Données!A29</f>
        <v>5428</v>
      </c>
      <c r="B29" s="203" t="str">
        <f>Données!B29</f>
        <v>Gimel</v>
      </c>
      <c r="C29" s="387">
        <f>Données!C29</f>
        <v>2458</v>
      </c>
      <c r="D29" s="379">
        <f t="shared" si="0"/>
        <v>1000</v>
      </c>
      <c r="E29" s="379">
        <f t="shared" si="6"/>
        <v>1458</v>
      </c>
      <c r="F29" s="388">
        <f t="shared" ref="F29:I38" si="13">IF($C29&lt;F$4,0,IF($C29&gt;F$5,F$5-F$4,$C29-F$4))</f>
        <v>0</v>
      </c>
      <c r="G29" s="378">
        <f t="shared" si="13"/>
        <v>0</v>
      </c>
      <c r="H29" s="379">
        <f t="shared" si="13"/>
        <v>0</v>
      </c>
      <c r="I29" s="388">
        <f t="shared" si="13"/>
        <v>0</v>
      </c>
      <c r="J29" s="389">
        <f t="shared" si="2"/>
        <v>0</v>
      </c>
      <c r="K29" s="378"/>
      <c r="L29" s="379">
        <f t="shared" si="3"/>
        <v>-675516.8150346193</v>
      </c>
      <c r="M29" s="388">
        <f t="shared" si="8"/>
        <v>1459768.9942305156</v>
      </c>
      <c r="N29" s="390">
        <f t="shared" si="4"/>
        <v>784252.17919589626</v>
      </c>
      <c r="O29" s="381"/>
      <c r="P29" s="391">
        <f>Données!AC29</f>
        <v>0</v>
      </c>
      <c r="Q29" s="392">
        <f>Données!AD29</f>
        <v>0</v>
      </c>
      <c r="R29" s="393">
        <f t="shared" si="9"/>
        <v>0</v>
      </c>
      <c r="S29" s="394">
        <f t="shared" si="10"/>
        <v>0</v>
      </c>
      <c r="T29" s="393">
        <f t="shared" si="11"/>
        <v>248609.55235540034</v>
      </c>
      <c r="U29" s="395">
        <f t="shared" si="5"/>
        <v>248609.55235540034</v>
      </c>
    </row>
    <row r="30" spans="1:21" x14ac:dyDescent="0.25">
      <c r="A30" s="202">
        <f>Données!A30</f>
        <v>5429</v>
      </c>
      <c r="B30" s="203" t="str">
        <f>Données!B30</f>
        <v>Longirod</v>
      </c>
      <c r="C30" s="387">
        <f>Données!C30</f>
        <v>555</v>
      </c>
      <c r="D30" s="379">
        <f t="shared" si="0"/>
        <v>555</v>
      </c>
      <c r="E30" s="379">
        <f t="shared" si="6"/>
        <v>0</v>
      </c>
      <c r="F30" s="388">
        <f t="shared" si="13"/>
        <v>0</v>
      </c>
      <c r="G30" s="378">
        <f t="shared" si="13"/>
        <v>0</v>
      </c>
      <c r="H30" s="379">
        <f t="shared" si="13"/>
        <v>0</v>
      </c>
      <c r="I30" s="388">
        <f t="shared" si="13"/>
        <v>0</v>
      </c>
      <c r="J30" s="389">
        <f t="shared" si="2"/>
        <v>0</v>
      </c>
      <c r="K30" s="378"/>
      <c r="L30" s="379">
        <f t="shared" si="3"/>
        <v>-73766.691394658745</v>
      </c>
      <c r="M30" s="388">
        <f t="shared" si="8"/>
        <v>329606.09918549075</v>
      </c>
      <c r="N30" s="390">
        <f t="shared" si="4"/>
        <v>255839.40779083199</v>
      </c>
      <c r="O30" s="381"/>
      <c r="P30" s="391">
        <f>Données!AC30</f>
        <v>0</v>
      </c>
      <c r="Q30" s="392">
        <f>Données!AD30</f>
        <v>0</v>
      </c>
      <c r="R30" s="393">
        <f t="shared" si="9"/>
        <v>0</v>
      </c>
      <c r="S30" s="394">
        <f t="shared" si="10"/>
        <v>0</v>
      </c>
      <c r="T30" s="393">
        <f t="shared" si="11"/>
        <v>56134.378176260041</v>
      </c>
      <c r="U30" s="395">
        <f t="shared" si="5"/>
        <v>56134.378176260041</v>
      </c>
    </row>
    <row r="31" spans="1:21" x14ac:dyDescent="0.25">
      <c r="A31" s="202">
        <f>Données!A31</f>
        <v>5430</v>
      </c>
      <c r="B31" s="203" t="str">
        <f>Données!B31</f>
        <v>Marchissy</v>
      </c>
      <c r="C31" s="387">
        <f>Données!C31</f>
        <v>510</v>
      </c>
      <c r="D31" s="379">
        <f t="shared" si="0"/>
        <v>510</v>
      </c>
      <c r="E31" s="379">
        <f t="shared" si="6"/>
        <v>0</v>
      </c>
      <c r="F31" s="388">
        <f t="shared" si="13"/>
        <v>0</v>
      </c>
      <c r="G31" s="378">
        <f t="shared" si="13"/>
        <v>0</v>
      </c>
      <c r="H31" s="379">
        <f t="shared" si="13"/>
        <v>0</v>
      </c>
      <c r="I31" s="388">
        <f t="shared" si="13"/>
        <v>0</v>
      </c>
      <c r="J31" s="389">
        <f t="shared" si="2"/>
        <v>0</v>
      </c>
      <c r="K31" s="378"/>
      <c r="L31" s="379">
        <f t="shared" si="3"/>
        <v>-67785.60830860534</v>
      </c>
      <c r="M31" s="388">
        <f t="shared" si="8"/>
        <v>302881.2803326131</v>
      </c>
      <c r="N31" s="390">
        <f t="shared" si="4"/>
        <v>235095.67202400777</v>
      </c>
      <c r="O31" s="381"/>
      <c r="P31" s="391">
        <f>Données!AC31</f>
        <v>0</v>
      </c>
      <c r="Q31" s="392">
        <f>Données!AD31</f>
        <v>0</v>
      </c>
      <c r="R31" s="393">
        <f t="shared" si="9"/>
        <v>0</v>
      </c>
      <c r="S31" s="394">
        <f t="shared" si="10"/>
        <v>0</v>
      </c>
      <c r="T31" s="393">
        <f t="shared" si="11"/>
        <v>51582.942107914634</v>
      </c>
      <c r="U31" s="395">
        <f t="shared" si="5"/>
        <v>51582.942107914634</v>
      </c>
    </row>
    <row r="32" spans="1:21" x14ac:dyDescent="0.25">
      <c r="A32" s="202">
        <f>Données!A32</f>
        <v>5431</v>
      </c>
      <c r="B32" s="203" t="str">
        <f>Données!B32</f>
        <v>Mollens</v>
      </c>
      <c r="C32" s="387">
        <f>Données!C32</f>
        <v>324</v>
      </c>
      <c r="D32" s="379">
        <f t="shared" si="0"/>
        <v>324</v>
      </c>
      <c r="E32" s="379">
        <f t="shared" si="6"/>
        <v>0</v>
      </c>
      <c r="F32" s="388">
        <f t="shared" si="13"/>
        <v>0</v>
      </c>
      <c r="G32" s="378">
        <f t="shared" si="13"/>
        <v>0</v>
      </c>
      <c r="H32" s="379">
        <f t="shared" si="13"/>
        <v>0</v>
      </c>
      <c r="I32" s="388">
        <f t="shared" si="13"/>
        <v>0</v>
      </c>
      <c r="J32" s="389">
        <f t="shared" si="2"/>
        <v>0</v>
      </c>
      <c r="K32" s="378"/>
      <c r="L32" s="379">
        <f t="shared" si="3"/>
        <v>-43063.798219584569</v>
      </c>
      <c r="M32" s="388">
        <f t="shared" si="8"/>
        <v>192418.69574071892</v>
      </c>
      <c r="N32" s="390">
        <f t="shared" si="4"/>
        <v>149354.89752113435</v>
      </c>
      <c r="O32" s="381"/>
      <c r="P32" s="391">
        <f>Données!AC32</f>
        <v>0</v>
      </c>
      <c r="Q32" s="392">
        <f>Données!AD32</f>
        <v>0</v>
      </c>
      <c r="R32" s="393">
        <f t="shared" si="9"/>
        <v>0</v>
      </c>
      <c r="S32" s="394">
        <f t="shared" si="10"/>
        <v>0</v>
      </c>
      <c r="T32" s="393">
        <f t="shared" si="11"/>
        <v>32770.339692086942</v>
      </c>
      <c r="U32" s="395">
        <f t="shared" si="5"/>
        <v>32770.339692086942</v>
      </c>
    </row>
    <row r="33" spans="1:21" x14ac:dyDescent="0.25">
      <c r="A33" s="202">
        <f>Données!A33</f>
        <v>5434</v>
      </c>
      <c r="B33" s="203" t="str">
        <f>Données!B33</f>
        <v>Saint-George</v>
      </c>
      <c r="C33" s="387">
        <f>Données!C33</f>
        <v>1083</v>
      </c>
      <c r="D33" s="379">
        <f t="shared" si="0"/>
        <v>1000</v>
      </c>
      <c r="E33" s="379">
        <f t="shared" si="6"/>
        <v>83</v>
      </c>
      <c r="F33" s="388">
        <f t="shared" si="13"/>
        <v>0</v>
      </c>
      <c r="G33" s="378">
        <f t="shared" si="13"/>
        <v>0</v>
      </c>
      <c r="H33" s="379">
        <f t="shared" si="13"/>
        <v>0</v>
      </c>
      <c r="I33" s="388">
        <f t="shared" si="13"/>
        <v>0</v>
      </c>
      <c r="J33" s="389">
        <f t="shared" si="2"/>
        <v>0</v>
      </c>
      <c r="K33" s="378"/>
      <c r="L33" s="379">
        <f t="shared" si="3"/>
        <v>-163801.92878338278</v>
      </c>
      <c r="M33" s="388">
        <f t="shared" si="8"/>
        <v>643177.30705925485</v>
      </c>
      <c r="N33" s="390">
        <f t="shared" si="4"/>
        <v>479375.37827587209</v>
      </c>
      <c r="O33" s="381"/>
      <c r="P33" s="391">
        <f>Données!AC33</f>
        <v>0</v>
      </c>
      <c r="Q33" s="392">
        <f>Données!AD33</f>
        <v>0</v>
      </c>
      <c r="R33" s="393">
        <f t="shared" si="9"/>
        <v>0</v>
      </c>
      <c r="S33" s="394">
        <f t="shared" si="10"/>
        <v>0</v>
      </c>
      <c r="T33" s="393">
        <f t="shared" si="11"/>
        <v>109537.89471151284</v>
      </c>
      <c r="U33" s="395">
        <f t="shared" si="5"/>
        <v>109537.89471151284</v>
      </c>
    </row>
    <row r="34" spans="1:21" x14ac:dyDescent="0.25">
      <c r="A34" s="202">
        <f>Données!A34</f>
        <v>5435</v>
      </c>
      <c r="B34" s="203" t="str">
        <f>Données!B34</f>
        <v>Saint-Livres</v>
      </c>
      <c r="C34" s="387">
        <f>Données!C34</f>
        <v>715</v>
      </c>
      <c r="D34" s="379">
        <f t="shared" si="0"/>
        <v>715</v>
      </c>
      <c r="E34" s="379">
        <f t="shared" si="6"/>
        <v>0</v>
      </c>
      <c r="F34" s="388">
        <f t="shared" si="13"/>
        <v>0</v>
      </c>
      <c r="G34" s="378">
        <f t="shared" si="13"/>
        <v>0</v>
      </c>
      <c r="H34" s="379">
        <f t="shared" si="13"/>
        <v>0</v>
      </c>
      <c r="I34" s="388">
        <f t="shared" si="13"/>
        <v>0</v>
      </c>
      <c r="J34" s="389">
        <f t="shared" si="2"/>
        <v>0</v>
      </c>
      <c r="K34" s="378"/>
      <c r="L34" s="379">
        <f t="shared" si="3"/>
        <v>-95032.764589515325</v>
      </c>
      <c r="M34" s="388">
        <f t="shared" si="8"/>
        <v>424627.67732905562</v>
      </c>
      <c r="N34" s="390">
        <f t="shared" si="4"/>
        <v>329594.91273954028</v>
      </c>
      <c r="O34" s="381"/>
      <c r="P34" s="391">
        <f>Données!AC34</f>
        <v>0</v>
      </c>
      <c r="Q34" s="392">
        <f>Données!AD34</f>
        <v>0</v>
      </c>
      <c r="R34" s="393">
        <f t="shared" si="9"/>
        <v>0</v>
      </c>
      <c r="S34" s="394">
        <f t="shared" si="10"/>
        <v>0</v>
      </c>
      <c r="T34" s="393">
        <f t="shared" si="11"/>
        <v>72317.261974821493</v>
      </c>
      <c r="U34" s="395">
        <f t="shared" si="5"/>
        <v>72317.261974821493</v>
      </c>
    </row>
    <row r="35" spans="1:21" x14ac:dyDescent="0.25">
      <c r="A35" s="202">
        <f>Données!A35</f>
        <v>5436</v>
      </c>
      <c r="B35" s="203" t="str">
        <f>Données!B35</f>
        <v>Saint-Oyens</v>
      </c>
      <c r="C35" s="387">
        <f>Données!C35</f>
        <v>457</v>
      </c>
      <c r="D35" s="379">
        <f t="shared" si="0"/>
        <v>457</v>
      </c>
      <c r="E35" s="379">
        <f t="shared" si="6"/>
        <v>0</v>
      </c>
      <c r="F35" s="388">
        <f t="shared" si="13"/>
        <v>0</v>
      </c>
      <c r="G35" s="378">
        <f t="shared" si="13"/>
        <v>0</v>
      </c>
      <c r="H35" s="379">
        <f t="shared" si="13"/>
        <v>0</v>
      </c>
      <c r="I35" s="388">
        <f t="shared" si="13"/>
        <v>0</v>
      </c>
      <c r="J35" s="389">
        <f t="shared" si="2"/>
        <v>0</v>
      </c>
      <c r="K35" s="378"/>
      <c r="L35" s="379">
        <f t="shared" si="3"/>
        <v>-60741.221562809093</v>
      </c>
      <c r="M35" s="388">
        <f t="shared" si="8"/>
        <v>271405.38257255725</v>
      </c>
      <c r="N35" s="390">
        <f t="shared" si="4"/>
        <v>210664.16100974818</v>
      </c>
      <c r="O35" s="381"/>
      <c r="P35" s="391">
        <f>Données!AC35</f>
        <v>0</v>
      </c>
      <c r="Q35" s="392">
        <f>Données!AD35</f>
        <v>0</v>
      </c>
      <c r="R35" s="393">
        <f t="shared" si="9"/>
        <v>0</v>
      </c>
      <c r="S35" s="394">
        <f t="shared" si="10"/>
        <v>0</v>
      </c>
      <c r="T35" s="393">
        <f t="shared" si="11"/>
        <v>46222.361849641151</v>
      </c>
      <c r="U35" s="395">
        <f t="shared" si="5"/>
        <v>46222.361849641151</v>
      </c>
    </row>
    <row r="36" spans="1:21" x14ac:dyDescent="0.25">
      <c r="A36" s="202">
        <f>Données!A36</f>
        <v>5437</v>
      </c>
      <c r="B36" s="203" t="str">
        <f>Données!B36</f>
        <v>Saubraz</v>
      </c>
      <c r="C36" s="387">
        <f>Données!C36</f>
        <v>446</v>
      </c>
      <c r="D36" s="379">
        <f t="shared" si="0"/>
        <v>446</v>
      </c>
      <c r="E36" s="379">
        <f t="shared" si="6"/>
        <v>0</v>
      </c>
      <c r="F36" s="388">
        <f t="shared" si="13"/>
        <v>0</v>
      </c>
      <c r="G36" s="378">
        <f t="shared" si="13"/>
        <v>0</v>
      </c>
      <c r="H36" s="379">
        <f t="shared" si="13"/>
        <v>0</v>
      </c>
      <c r="I36" s="388">
        <f t="shared" si="13"/>
        <v>0</v>
      </c>
      <c r="J36" s="389">
        <f t="shared" si="2"/>
        <v>0</v>
      </c>
      <c r="K36" s="378"/>
      <c r="L36" s="379">
        <f t="shared" si="3"/>
        <v>-59279.179030662708</v>
      </c>
      <c r="M36" s="388">
        <f t="shared" si="8"/>
        <v>264872.64907518716</v>
      </c>
      <c r="N36" s="390">
        <f t="shared" si="4"/>
        <v>205593.47004452447</v>
      </c>
      <c r="O36" s="381"/>
      <c r="P36" s="391">
        <f>Données!AC36</f>
        <v>0</v>
      </c>
      <c r="Q36" s="392">
        <f>Données!AD36</f>
        <v>0</v>
      </c>
      <c r="R36" s="393">
        <f t="shared" si="9"/>
        <v>0</v>
      </c>
      <c r="S36" s="394">
        <f t="shared" si="10"/>
        <v>0</v>
      </c>
      <c r="T36" s="393">
        <f t="shared" si="11"/>
        <v>45109.788588490053</v>
      </c>
      <c r="U36" s="395">
        <f t="shared" si="5"/>
        <v>45109.788588490053</v>
      </c>
    </row>
    <row r="37" spans="1:21" x14ac:dyDescent="0.25">
      <c r="A37" s="202">
        <f>Données!A37</f>
        <v>5451</v>
      </c>
      <c r="B37" s="203" t="str">
        <f>Données!B37</f>
        <v>Avenches</v>
      </c>
      <c r="C37" s="387">
        <f>Données!C37</f>
        <v>4895</v>
      </c>
      <c r="D37" s="379">
        <f t="shared" si="0"/>
        <v>1000</v>
      </c>
      <c r="E37" s="379">
        <f t="shared" si="6"/>
        <v>2000</v>
      </c>
      <c r="F37" s="388">
        <f t="shared" si="13"/>
        <v>1895</v>
      </c>
      <c r="G37" s="378">
        <f t="shared" si="13"/>
        <v>0</v>
      </c>
      <c r="H37" s="379">
        <f t="shared" si="13"/>
        <v>0</v>
      </c>
      <c r="I37" s="388">
        <f t="shared" si="13"/>
        <v>0</v>
      </c>
      <c r="J37" s="389">
        <f t="shared" si="2"/>
        <v>0</v>
      </c>
      <c r="K37" s="378"/>
      <c r="L37" s="379">
        <f t="shared" si="3"/>
        <v>-2136575.7912957468</v>
      </c>
      <c r="M37" s="388">
        <f t="shared" si="8"/>
        <v>2907066.4063296886</v>
      </c>
      <c r="N37" s="390">
        <f t="shared" si="4"/>
        <v>770490.61503394181</v>
      </c>
      <c r="O37" s="381"/>
      <c r="P37" s="391">
        <f>Données!AC37</f>
        <v>330023</v>
      </c>
      <c r="Q37" s="392">
        <f>Données!AD37</f>
        <v>0</v>
      </c>
      <c r="R37" s="393">
        <f t="shared" si="9"/>
        <v>330023</v>
      </c>
      <c r="S37" s="394">
        <f t="shared" si="10"/>
        <v>-198013.8</v>
      </c>
      <c r="T37" s="393">
        <f t="shared" si="11"/>
        <v>495095.10121223947</v>
      </c>
      <c r="U37" s="395">
        <f t="shared" si="5"/>
        <v>297081.30121223949</v>
      </c>
    </row>
    <row r="38" spans="1:21" x14ac:dyDescent="0.25">
      <c r="A38" s="202">
        <f>Données!A38</f>
        <v>5456</v>
      </c>
      <c r="B38" s="203" t="str">
        <f>Données!B38</f>
        <v>Cudrefin</v>
      </c>
      <c r="C38" s="387">
        <f>Données!C38</f>
        <v>1885</v>
      </c>
      <c r="D38" s="379">
        <f t="shared" si="0"/>
        <v>1000</v>
      </c>
      <c r="E38" s="379">
        <f t="shared" si="6"/>
        <v>885</v>
      </c>
      <c r="F38" s="388">
        <f t="shared" si="13"/>
        <v>0</v>
      </c>
      <c r="G38" s="378">
        <f t="shared" si="13"/>
        <v>0</v>
      </c>
      <c r="H38" s="379">
        <f t="shared" si="13"/>
        <v>0</v>
      </c>
      <c r="I38" s="388">
        <f t="shared" si="13"/>
        <v>0</v>
      </c>
      <c r="J38" s="389">
        <f t="shared" si="2"/>
        <v>0</v>
      </c>
      <c r="K38" s="378"/>
      <c r="L38" s="379">
        <f t="shared" si="3"/>
        <v>-462271.26607319486</v>
      </c>
      <c r="M38" s="388">
        <f t="shared" si="8"/>
        <v>1119472.9675038739</v>
      </c>
      <c r="N38" s="390">
        <f t="shared" si="4"/>
        <v>657201.70143067907</v>
      </c>
      <c r="O38" s="381"/>
      <c r="P38" s="391">
        <f>Données!AC38</f>
        <v>0</v>
      </c>
      <c r="Q38" s="392">
        <f>Données!AD38</f>
        <v>0</v>
      </c>
      <c r="R38" s="393">
        <f t="shared" si="9"/>
        <v>0</v>
      </c>
      <c r="S38" s="394">
        <f t="shared" si="10"/>
        <v>0</v>
      </c>
      <c r="T38" s="393">
        <f t="shared" si="11"/>
        <v>190654.59975180213</v>
      </c>
      <c r="U38" s="395">
        <f t="shared" si="5"/>
        <v>190654.59975180213</v>
      </c>
    </row>
    <row r="39" spans="1:21" x14ac:dyDescent="0.25">
      <c r="A39" s="202">
        <f>Données!A39</f>
        <v>5458</v>
      </c>
      <c r="B39" s="203" t="str">
        <f>Données!B39</f>
        <v>Faoug</v>
      </c>
      <c r="C39" s="387">
        <f>Données!C39</f>
        <v>900</v>
      </c>
      <c r="D39" s="379">
        <f t="shared" si="0"/>
        <v>900</v>
      </c>
      <c r="E39" s="379">
        <f t="shared" si="6"/>
        <v>0</v>
      </c>
      <c r="F39" s="388">
        <f t="shared" ref="F39:I48" si="14">IF($C39&lt;F$4,0,IF($C39&gt;F$5,F$5-F$4,$C39-F$4))</f>
        <v>0</v>
      </c>
      <c r="G39" s="378">
        <f t="shared" si="14"/>
        <v>0</v>
      </c>
      <c r="H39" s="379">
        <f t="shared" si="14"/>
        <v>0</v>
      </c>
      <c r="I39" s="388">
        <f t="shared" si="14"/>
        <v>0</v>
      </c>
      <c r="J39" s="389">
        <f t="shared" si="2"/>
        <v>0</v>
      </c>
      <c r="K39" s="378"/>
      <c r="L39" s="379">
        <f t="shared" si="3"/>
        <v>-119621.66172106825</v>
      </c>
      <c r="M39" s="388">
        <f t="shared" si="8"/>
        <v>534496.37705755257</v>
      </c>
      <c r="N39" s="390">
        <f t="shared" si="4"/>
        <v>414874.71533648431</v>
      </c>
      <c r="O39" s="381"/>
      <c r="P39" s="391">
        <f>Données!AC39</f>
        <v>0</v>
      </c>
      <c r="Q39" s="392">
        <f>Données!AD39</f>
        <v>0</v>
      </c>
      <c r="R39" s="393">
        <f t="shared" si="9"/>
        <v>0</v>
      </c>
      <c r="S39" s="394">
        <f t="shared" si="10"/>
        <v>0</v>
      </c>
      <c r="T39" s="393">
        <f t="shared" si="11"/>
        <v>91028.721366908183</v>
      </c>
      <c r="U39" s="395">
        <f t="shared" si="5"/>
        <v>91028.721366908183</v>
      </c>
    </row>
    <row r="40" spans="1:21" x14ac:dyDescent="0.25">
      <c r="A40" s="202">
        <f>Données!A40</f>
        <v>5464</v>
      </c>
      <c r="B40" s="203" t="str">
        <f>Données!B40</f>
        <v>Vully-les-Lacs</v>
      </c>
      <c r="C40" s="387">
        <f>Données!C40</f>
        <v>3639</v>
      </c>
      <c r="D40" s="379">
        <f t="shared" si="0"/>
        <v>1000</v>
      </c>
      <c r="E40" s="379">
        <f t="shared" si="6"/>
        <v>2000</v>
      </c>
      <c r="F40" s="388">
        <f t="shared" si="14"/>
        <v>639</v>
      </c>
      <c r="G40" s="378">
        <f t="shared" si="14"/>
        <v>0</v>
      </c>
      <c r="H40" s="379">
        <f t="shared" si="14"/>
        <v>0</v>
      </c>
      <c r="I40" s="388">
        <f t="shared" si="14"/>
        <v>0</v>
      </c>
      <c r="J40" s="389">
        <f t="shared" si="2"/>
        <v>0</v>
      </c>
      <c r="K40" s="378"/>
      <c r="L40" s="379">
        <f t="shared" si="3"/>
        <v>-1301882.4183976261</v>
      </c>
      <c r="M40" s="388">
        <f t="shared" si="8"/>
        <v>2161147.017902704</v>
      </c>
      <c r="N40" s="390">
        <f t="shared" si="4"/>
        <v>859264.59950507781</v>
      </c>
      <c r="O40" s="381"/>
      <c r="P40" s="391">
        <f>Données!AC40</f>
        <v>0</v>
      </c>
      <c r="Q40" s="392">
        <f>Données!AD40</f>
        <v>0</v>
      </c>
      <c r="R40" s="393">
        <f t="shared" si="9"/>
        <v>0</v>
      </c>
      <c r="S40" s="394">
        <f t="shared" si="10"/>
        <v>0</v>
      </c>
      <c r="T40" s="393">
        <f t="shared" si="11"/>
        <v>368059.46339353209</v>
      </c>
      <c r="U40" s="395">
        <f t="shared" si="5"/>
        <v>368059.46339353209</v>
      </c>
    </row>
    <row r="41" spans="1:21" x14ac:dyDescent="0.25">
      <c r="A41" s="202">
        <f>Données!A41</f>
        <v>5471</v>
      </c>
      <c r="B41" s="203" t="str">
        <f>Données!B41</f>
        <v>Bettens</v>
      </c>
      <c r="C41" s="387">
        <f>Données!C41</f>
        <v>653</v>
      </c>
      <c r="D41" s="379">
        <f t="shared" si="0"/>
        <v>653</v>
      </c>
      <c r="E41" s="379">
        <f t="shared" si="6"/>
        <v>0</v>
      </c>
      <c r="F41" s="388">
        <f t="shared" si="14"/>
        <v>0</v>
      </c>
      <c r="G41" s="378">
        <f t="shared" si="14"/>
        <v>0</v>
      </c>
      <c r="H41" s="379">
        <f t="shared" si="14"/>
        <v>0</v>
      </c>
      <c r="I41" s="388">
        <f t="shared" si="14"/>
        <v>0</v>
      </c>
      <c r="J41" s="389">
        <f t="shared" si="2"/>
        <v>0</v>
      </c>
      <c r="K41" s="378"/>
      <c r="L41" s="379">
        <f t="shared" si="3"/>
        <v>-86792.161226508397</v>
      </c>
      <c r="M41" s="388">
        <f t="shared" si="8"/>
        <v>387806.81579842424</v>
      </c>
      <c r="N41" s="390">
        <f t="shared" si="4"/>
        <v>301014.65457191586</v>
      </c>
      <c r="O41" s="381"/>
      <c r="P41" s="391">
        <f>Données!AC41</f>
        <v>0</v>
      </c>
      <c r="Q41" s="392">
        <f>Données!AD41</f>
        <v>0</v>
      </c>
      <c r="R41" s="393">
        <f t="shared" si="9"/>
        <v>0</v>
      </c>
      <c r="S41" s="394">
        <f t="shared" si="10"/>
        <v>0</v>
      </c>
      <c r="T41" s="393">
        <f t="shared" si="11"/>
        <v>66046.394502878931</v>
      </c>
      <c r="U41" s="395">
        <f t="shared" si="5"/>
        <v>66046.394502878931</v>
      </c>
    </row>
    <row r="42" spans="1:21" x14ac:dyDescent="0.25">
      <c r="A42" s="202">
        <f>Données!A42</f>
        <v>5472</v>
      </c>
      <c r="B42" s="203" t="str">
        <f>Données!B42</f>
        <v>Bournens</v>
      </c>
      <c r="C42" s="387">
        <f>Données!C42</f>
        <v>532</v>
      </c>
      <c r="D42" s="379">
        <f t="shared" si="0"/>
        <v>532</v>
      </c>
      <c r="E42" s="379">
        <f t="shared" si="6"/>
        <v>0</v>
      </c>
      <c r="F42" s="388">
        <f t="shared" si="14"/>
        <v>0</v>
      </c>
      <c r="G42" s="378">
        <f t="shared" si="14"/>
        <v>0</v>
      </c>
      <c r="H42" s="379">
        <f t="shared" si="14"/>
        <v>0</v>
      </c>
      <c r="I42" s="388">
        <f t="shared" si="14"/>
        <v>0</v>
      </c>
      <c r="J42" s="389">
        <f t="shared" si="2"/>
        <v>0</v>
      </c>
      <c r="K42" s="378"/>
      <c r="L42" s="379">
        <f t="shared" si="3"/>
        <v>-70709.693372898109</v>
      </c>
      <c r="M42" s="388">
        <f t="shared" si="8"/>
        <v>315946.74732735328</v>
      </c>
      <c r="N42" s="390">
        <f t="shared" si="4"/>
        <v>245237.05395445519</v>
      </c>
      <c r="O42" s="381"/>
      <c r="P42" s="391">
        <f>Données!AC42</f>
        <v>0</v>
      </c>
      <c r="Q42" s="392">
        <f>Données!AD42</f>
        <v>0</v>
      </c>
      <c r="R42" s="393">
        <f t="shared" si="9"/>
        <v>0</v>
      </c>
      <c r="S42" s="394">
        <f t="shared" si="10"/>
        <v>0</v>
      </c>
      <c r="T42" s="393">
        <f t="shared" si="11"/>
        <v>53808.088630216836</v>
      </c>
      <c r="U42" s="395">
        <f t="shared" si="5"/>
        <v>53808.088630216836</v>
      </c>
    </row>
    <row r="43" spans="1:21" x14ac:dyDescent="0.25">
      <c r="A43" s="202">
        <f>Données!A43</f>
        <v>5473</v>
      </c>
      <c r="B43" s="203" t="str">
        <f>Données!B43</f>
        <v>Boussens</v>
      </c>
      <c r="C43" s="387">
        <f>Données!C43</f>
        <v>1007</v>
      </c>
      <c r="D43" s="379">
        <f t="shared" si="0"/>
        <v>1000</v>
      </c>
      <c r="E43" s="379">
        <f t="shared" si="6"/>
        <v>7</v>
      </c>
      <c r="F43" s="388">
        <f t="shared" si="14"/>
        <v>0</v>
      </c>
      <c r="G43" s="378">
        <f t="shared" si="14"/>
        <v>0</v>
      </c>
      <c r="H43" s="379">
        <f t="shared" si="14"/>
        <v>0</v>
      </c>
      <c r="I43" s="388">
        <f t="shared" si="14"/>
        <v>0</v>
      </c>
      <c r="J43" s="389">
        <f t="shared" si="2"/>
        <v>0</v>
      </c>
      <c r="K43" s="378"/>
      <c r="L43" s="379">
        <f t="shared" si="3"/>
        <v>-135518.05143422354</v>
      </c>
      <c r="M43" s="388">
        <f t="shared" si="8"/>
        <v>598042.0574410616</v>
      </c>
      <c r="N43" s="390">
        <f t="shared" si="4"/>
        <v>462524.00600683806</v>
      </c>
      <c r="O43" s="381"/>
      <c r="P43" s="391">
        <f>Données!AC43</f>
        <v>0</v>
      </c>
      <c r="Q43" s="392">
        <f>Données!AD43</f>
        <v>0</v>
      </c>
      <c r="R43" s="393">
        <f t="shared" si="9"/>
        <v>0</v>
      </c>
      <c r="S43" s="394">
        <f t="shared" si="10"/>
        <v>0</v>
      </c>
      <c r="T43" s="393">
        <f t="shared" si="11"/>
        <v>101851.02490719616</v>
      </c>
      <c r="U43" s="395">
        <f t="shared" si="5"/>
        <v>101851.02490719616</v>
      </c>
    </row>
    <row r="44" spans="1:21" x14ac:dyDescent="0.25">
      <c r="A44" s="202">
        <f>Données!A44</f>
        <v>5474</v>
      </c>
      <c r="B44" s="203" t="str">
        <f>Données!B44</f>
        <v>La Chaux (Cossonay)</v>
      </c>
      <c r="C44" s="387">
        <f>Données!C44</f>
        <v>436</v>
      </c>
      <c r="D44" s="379">
        <f t="shared" si="0"/>
        <v>436</v>
      </c>
      <c r="E44" s="379">
        <f t="shared" si="6"/>
        <v>0</v>
      </c>
      <c r="F44" s="388">
        <f t="shared" si="14"/>
        <v>0</v>
      </c>
      <c r="G44" s="378">
        <f t="shared" si="14"/>
        <v>0</v>
      </c>
      <c r="H44" s="379">
        <f t="shared" si="14"/>
        <v>0</v>
      </c>
      <c r="I44" s="388">
        <f t="shared" si="14"/>
        <v>0</v>
      </c>
      <c r="J44" s="389">
        <f t="shared" si="2"/>
        <v>0</v>
      </c>
      <c r="K44" s="378"/>
      <c r="L44" s="379">
        <f t="shared" si="3"/>
        <v>-57950.049455984168</v>
      </c>
      <c r="M44" s="388">
        <f t="shared" si="8"/>
        <v>258933.80044121432</v>
      </c>
      <c r="N44" s="390">
        <f t="shared" si="4"/>
        <v>200983.75098523014</v>
      </c>
      <c r="O44" s="381"/>
      <c r="P44" s="391">
        <f>Données!AC44</f>
        <v>0</v>
      </c>
      <c r="Q44" s="392">
        <f>Données!AD44</f>
        <v>0</v>
      </c>
      <c r="R44" s="393">
        <f t="shared" si="9"/>
        <v>0</v>
      </c>
      <c r="S44" s="394">
        <f t="shared" si="10"/>
        <v>0</v>
      </c>
      <c r="T44" s="393">
        <f t="shared" si="11"/>
        <v>44098.358351079965</v>
      </c>
      <c r="U44" s="395">
        <f t="shared" si="5"/>
        <v>44098.358351079965</v>
      </c>
    </row>
    <row r="45" spans="1:21" x14ac:dyDescent="0.25">
      <c r="A45" s="202">
        <f>Données!A45</f>
        <v>5475</v>
      </c>
      <c r="B45" s="203" t="str">
        <f>Données!B45</f>
        <v>Chavannes-le-Veyron</v>
      </c>
      <c r="C45" s="387">
        <f>Données!C45</f>
        <v>160</v>
      </c>
      <c r="D45" s="379">
        <f t="shared" si="0"/>
        <v>160</v>
      </c>
      <c r="E45" s="379">
        <f t="shared" si="6"/>
        <v>0</v>
      </c>
      <c r="F45" s="388">
        <f t="shared" si="14"/>
        <v>0</v>
      </c>
      <c r="G45" s="378">
        <f t="shared" si="14"/>
        <v>0</v>
      </c>
      <c r="H45" s="379">
        <f t="shared" si="14"/>
        <v>0</v>
      </c>
      <c r="I45" s="388">
        <f t="shared" si="14"/>
        <v>0</v>
      </c>
      <c r="J45" s="389">
        <f t="shared" si="2"/>
        <v>0</v>
      </c>
      <c r="K45" s="378"/>
      <c r="L45" s="379">
        <f t="shared" si="3"/>
        <v>-21266.073194856577</v>
      </c>
      <c r="M45" s="388">
        <f t="shared" si="8"/>
        <v>95021.578143564897</v>
      </c>
      <c r="N45" s="390">
        <f t="shared" si="4"/>
        <v>73755.504948708316</v>
      </c>
      <c r="O45" s="381"/>
      <c r="P45" s="391">
        <f>Données!AC45</f>
        <v>0</v>
      </c>
      <c r="Q45" s="392">
        <f>Données!AD45</f>
        <v>0</v>
      </c>
      <c r="R45" s="393">
        <f t="shared" si="9"/>
        <v>0</v>
      </c>
      <c r="S45" s="394">
        <f t="shared" si="10"/>
        <v>0</v>
      </c>
      <c r="T45" s="393">
        <f t="shared" si="11"/>
        <v>16182.883798561454</v>
      </c>
      <c r="U45" s="395">
        <f t="shared" si="5"/>
        <v>16182.883798561454</v>
      </c>
    </row>
    <row r="46" spans="1:21" x14ac:dyDescent="0.25">
      <c r="A46" s="202">
        <f>Données!A46</f>
        <v>5476</v>
      </c>
      <c r="B46" s="203" t="str">
        <f>Données!B46</f>
        <v>Chevilly</v>
      </c>
      <c r="C46" s="387">
        <f>Données!C46</f>
        <v>346</v>
      </c>
      <c r="D46" s="379">
        <f t="shared" si="0"/>
        <v>346</v>
      </c>
      <c r="E46" s="379">
        <f t="shared" si="6"/>
        <v>0</v>
      </c>
      <c r="F46" s="388">
        <f t="shared" si="14"/>
        <v>0</v>
      </c>
      <c r="G46" s="378">
        <f t="shared" si="14"/>
        <v>0</v>
      </c>
      <c r="H46" s="379">
        <f t="shared" si="14"/>
        <v>0</v>
      </c>
      <c r="I46" s="388">
        <f t="shared" si="14"/>
        <v>0</v>
      </c>
      <c r="J46" s="389">
        <f t="shared" si="2"/>
        <v>0</v>
      </c>
      <c r="K46" s="378"/>
      <c r="L46" s="379">
        <f t="shared" si="3"/>
        <v>-45987.883283877345</v>
      </c>
      <c r="M46" s="388">
        <f t="shared" si="8"/>
        <v>205484.16273545907</v>
      </c>
      <c r="N46" s="390">
        <f t="shared" si="4"/>
        <v>159496.27945158174</v>
      </c>
      <c r="O46" s="381"/>
      <c r="P46" s="391">
        <f>Données!AC46</f>
        <v>0</v>
      </c>
      <c r="Q46" s="392">
        <f>Données!AD46</f>
        <v>0</v>
      </c>
      <c r="R46" s="393">
        <f t="shared" si="9"/>
        <v>0</v>
      </c>
      <c r="S46" s="394">
        <f t="shared" si="10"/>
        <v>0</v>
      </c>
      <c r="T46" s="393">
        <f t="shared" si="11"/>
        <v>34995.486214389144</v>
      </c>
      <c r="U46" s="395">
        <f t="shared" si="5"/>
        <v>34995.486214389144</v>
      </c>
    </row>
    <row r="47" spans="1:21" x14ac:dyDescent="0.25">
      <c r="A47" s="202">
        <f>Données!A47</f>
        <v>5477</v>
      </c>
      <c r="B47" s="203" t="str">
        <f>Données!B47</f>
        <v>Cossonay</v>
      </c>
      <c r="C47" s="387">
        <f>Données!C47</f>
        <v>4902</v>
      </c>
      <c r="D47" s="379">
        <f t="shared" si="0"/>
        <v>1000</v>
      </c>
      <c r="E47" s="379">
        <f t="shared" si="6"/>
        <v>2000</v>
      </c>
      <c r="F47" s="388">
        <f t="shared" si="14"/>
        <v>1902</v>
      </c>
      <c r="G47" s="378">
        <f t="shared" si="14"/>
        <v>0</v>
      </c>
      <c r="H47" s="379">
        <f t="shared" si="14"/>
        <v>0</v>
      </c>
      <c r="I47" s="388">
        <f t="shared" si="14"/>
        <v>0</v>
      </c>
      <c r="J47" s="389">
        <f t="shared" si="2"/>
        <v>0</v>
      </c>
      <c r="K47" s="378"/>
      <c r="L47" s="379">
        <f t="shared" si="3"/>
        <v>-2141227.7448071218</v>
      </c>
      <c r="M47" s="388">
        <f t="shared" si="8"/>
        <v>2911223.6003734693</v>
      </c>
      <c r="N47" s="390">
        <f t="shared" si="4"/>
        <v>769995.85556634748</v>
      </c>
      <c r="O47" s="381"/>
      <c r="P47" s="391">
        <f>Données!AC47</f>
        <v>0</v>
      </c>
      <c r="Q47" s="392">
        <f>Données!AD47</f>
        <v>0</v>
      </c>
      <c r="R47" s="393">
        <f t="shared" si="9"/>
        <v>0</v>
      </c>
      <c r="S47" s="394">
        <f t="shared" si="10"/>
        <v>0</v>
      </c>
      <c r="T47" s="393">
        <f t="shared" si="11"/>
        <v>495803.10237842653</v>
      </c>
      <c r="U47" s="395">
        <f t="shared" si="5"/>
        <v>495803.10237842653</v>
      </c>
    </row>
    <row r="48" spans="1:21" x14ac:dyDescent="0.25">
      <c r="A48" s="202">
        <f>Données!A48</f>
        <v>5479</v>
      </c>
      <c r="B48" s="203" t="str">
        <f>Données!B48</f>
        <v>Cuarnens</v>
      </c>
      <c r="C48" s="387">
        <f>Données!C48</f>
        <v>561</v>
      </c>
      <c r="D48" s="379">
        <f t="shared" si="0"/>
        <v>561</v>
      </c>
      <c r="E48" s="379">
        <f t="shared" si="6"/>
        <v>0</v>
      </c>
      <c r="F48" s="388">
        <f t="shared" si="14"/>
        <v>0</v>
      </c>
      <c r="G48" s="378">
        <f t="shared" si="14"/>
        <v>0</v>
      </c>
      <c r="H48" s="379">
        <f t="shared" si="14"/>
        <v>0</v>
      </c>
      <c r="I48" s="388">
        <f t="shared" si="14"/>
        <v>0</v>
      </c>
      <c r="J48" s="389">
        <f t="shared" si="2"/>
        <v>0</v>
      </c>
      <c r="K48" s="378"/>
      <c r="L48" s="379">
        <f t="shared" si="3"/>
        <v>-74564.16913946587</v>
      </c>
      <c r="M48" s="388">
        <f t="shared" si="8"/>
        <v>333169.40836587443</v>
      </c>
      <c r="N48" s="390">
        <f t="shared" si="4"/>
        <v>258605.23922640856</v>
      </c>
      <c r="O48" s="381"/>
      <c r="P48" s="391">
        <f>Données!AC48</f>
        <v>0</v>
      </c>
      <c r="Q48" s="392">
        <f>Données!AD48</f>
        <v>0</v>
      </c>
      <c r="R48" s="393">
        <f t="shared" si="9"/>
        <v>0</v>
      </c>
      <c r="S48" s="394">
        <f t="shared" si="10"/>
        <v>0</v>
      </c>
      <c r="T48" s="393">
        <f t="shared" si="11"/>
        <v>56741.236318706098</v>
      </c>
      <c r="U48" s="395">
        <f t="shared" si="5"/>
        <v>56741.236318706098</v>
      </c>
    </row>
    <row r="49" spans="1:21" x14ac:dyDescent="0.25">
      <c r="A49" s="202">
        <f>Données!A49</f>
        <v>5480</v>
      </c>
      <c r="B49" s="203" t="str">
        <f>Données!B49</f>
        <v>Daillens</v>
      </c>
      <c r="C49" s="387">
        <f>Données!C49</f>
        <v>1099</v>
      </c>
      <c r="D49" s="379">
        <f t="shared" si="0"/>
        <v>1000</v>
      </c>
      <c r="E49" s="379">
        <f t="shared" si="6"/>
        <v>99</v>
      </c>
      <c r="F49" s="388">
        <f t="shared" ref="F49:I58" si="15">IF($C49&lt;F$4,0,IF($C49&gt;F$5,F$5-F$4,$C49-F$4))</f>
        <v>0</v>
      </c>
      <c r="G49" s="378">
        <f t="shared" si="15"/>
        <v>0</v>
      </c>
      <c r="H49" s="379">
        <f t="shared" si="15"/>
        <v>0</v>
      </c>
      <c r="I49" s="388">
        <f t="shared" si="15"/>
        <v>0</v>
      </c>
      <c r="J49" s="389">
        <f t="shared" si="2"/>
        <v>0</v>
      </c>
      <c r="K49" s="378"/>
      <c r="L49" s="379">
        <f t="shared" si="3"/>
        <v>-169756.42927794263</v>
      </c>
      <c r="M49" s="388">
        <f t="shared" si="8"/>
        <v>652679.46487361134</v>
      </c>
      <c r="N49" s="390">
        <f t="shared" si="4"/>
        <v>482923.03559566871</v>
      </c>
      <c r="O49" s="381"/>
      <c r="P49" s="391">
        <f>Données!AC49</f>
        <v>0</v>
      </c>
      <c r="Q49" s="392">
        <f>Données!AD49</f>
        <v>0</v>
      </c>
      <c r="R49" s="393">
        <f t="shared" si="9"/>
        <v>0</v>
      </c>
      <c r="S49" s="394">
        <f t="shared" si="10"/>
        <v>0</v>
      </c>
      <c r="T49" s="393">
        <f t="shared" si="11"/>
        <v>111156.18309136899</v>
      </c>
      <c r="U49" s="395">
        <f t="shared" si="5"/>
        <v>111156.18309136899</v>
      </c>
    </row>
    <row r="50" spans="1:21" x14ac:dyDescent="0.25">
      <c r="A50" s="202">
        <f>Données!A50</f>
        <v>5481</v>
      </c>
      <c r="B50" s="203" t="str">
        <f>Données!B50</f>
        <v>Dizy</v>
      </c>
      <c r="C50" s="387">
        <f>Données!C50</f>
        <v>238</v>
      </c>
      <c r="D50" s="379">
        <f t="shared" si="0"/>
        <v>238</v>
      </c>
      <c r="E50" s="379">
        <f t="shared" si="6"/>
        <v>0</v>
      </c>
      <c r="F50" s="388">
        <f t="shared" si="15"/>
        <v>0</v>
      </c>
      <c r="G50" s="378">
        <f t="shared" si="15"/>
        <v>0</v>
      </c>
      <c r="H50" s="379">
        <f t="shared" si="15"/>
        <v>0</v>
      </c>
      <c r="I50" s="388">
        <f t="shared" si="15"/>
        <v>0</v>
      </c>
      <c r="J50" s="389">
        <f t="shared" si="2"/>
        <v>0</v>
      </c>
      <c r="K50" s="378"/>
      <c r="L50" s="379">
        <f t="shared" si="3"/>
        <v>-31633.283877349157</v>
      </c>
      <c r="M50" s="388">
        <f t="shared" si="8"/>
        <v>141344.59748855277</v>
      </c>
      <c r="N50" s="390">
        <f t="shared" si="4"/>
        <v>109711.31361120362</v>
      </c>
      <c r="O50" s="381"/>
      <c r="P50" s="391">
        <f>Données!AC50</f>
        <v>0</v>
      </c>
      <c r="Q50" s="392">
        <f>Données!AD50</f>
        <v>0</v>
      </c>
      <c r="R50" s="393">
        <f t="shared" si="9"/>
        <v>0</v>
      </c>
      <c r="S50" s="394">
        <f t="shared" si="10"/>
        <v>0</v>
      </c>
      <c r="T50" s="393">
        <f t="shared" si="11"/>
        <v>24072.039650360162</v>
      </c>
      <c r="U50" s="395">
        <f t="shared" si="5"/>
        <v>24072.039650360162</v>
      </c>
    </row>
    <row r="51" spans="1:21" x14ac:dyDescent="0.25">
      <c r="A51" s="202">
        <f>Données!A51</f>
        <v>5482</v>
      </c>
      <c r="B51" s="203" t="str">
        <f>Données!B51</f>
        <v>Eclépens</v>
      </c>
      <c r="C51" s="387">
        <f>Données!C51</f>
        <v>1211</v>
      </c>
      <c r="D51" s="379">
        <f t="shared" si="0"/>
        <v>1000</v>
      </c>
      <c r="E51" s="379">
        <f t="shared" si="6"/>
        <v>211</v>
      </c>
      <c r="F51" s="388">
        <f t="shared" si="15"/>
        <v>0</v>
      </c>
      <c r="G51" s="378">
        <f t="shared" si="15"/>
        <v>0</v>
      </c>
      <c r="H51" s="379">
        <f t="shared" si="15"/>
        <v>0</v>
      </c>
      <c r="I51" s="388">
        <f t="shared" si="15"/>
        <v>0</v>
      </c>
      <c r="J51" s="389">
        <f t="shared" si="2"/>
        <v>0</v>
      </c>
      <c r="K51" s="378"/>
      <c r="L51" s="379">
        <f t="shared" si="3"/>
        <v>-211437.93273986154</v>
      </c>
      <c r="M51" s="388">
        <f t="shared" si="8"/>
        <v>719194.56957410683</v>
      </c>
      <c r="N51" s="390">
        <f t="shared" si="4"/>
        <v>507756.63683424529</v>
      </c>
      <c r="O51" s="381"/>
      <c r="P51" s="391">
        <f>Données!AC51</f>
        <v>0</v>
      </c>
      <c r="Q51" s="392">
        <f>Données!AD51</f>
        <v>0</v>
      </c>
      <c r="R51" s="393">
        <f t="shared" si="9"/>
        <v>0</v>
      </c>
      <c r="S51" s="394">
        <f t="shared" si="10"/>
        <v>0</v>
      </c>
      <c r="T51" s="393">
        <f t="shared" si="11"/>
        <v>122484.201750362</v>
      </c>
      <c r="U51" s="395">
        <f t="shared" si="5"/>
        <v>122484.201750362</v>
      </c>
    </row>
    <row r="52" spans="1:21" x14ac:dyDescent="0.25">
      <c r="A52" s="202">
        <f>Données!A52</f>
        <v>5483</v>
      </c>
      <c r="B52" s="203" t="str">
        <f>Données!B52</f>
        <v>Ferreyres</v>
      </c>
      <c r="C52" s="387">
        <f>Données!C52</f>
        <v>309</v>
      </c>
      <c r="D52" s="379">
        <f t="shared" si="0"/>
        <v>309</v>
      </c>
      <c r="E52" s="379">
        <f t="shared" si="6"/>
        <v>0</v>
      </c>
      <c r="F52" s="388">
        <f t="shared" si="15"/>
        <v>0</v>
      </c>
      <c r="G52" s="378">
        <f t="shared" si="15"/>
        <v>0</v>
      </c>
      <c r="H52" s="379">
        <f t="shared" si="15"/>
        <v>0</v>
      </c>
      <c r="I52" s="388">
        <f t="shared" si="15"/>
        <v>0</v>
      </c>
      <c r="J52" s="389">
        <f t="shared" si="2"/>
        <v>0</v>
      </c>
      <c r="K52" s="378"/>
      <c r="L52" s="379">
        <f t="shared" si="3"/>
        <v>-41070.103857566763</v>
      </c>
      <c r="M52" s="388">
        <f t="shared" si="8"/>
        <v>183510.4227897597</v>
      </c>
      <c r="N52" s="390">
        <f t="shared" si="4"/>
        <v>142440.31893219292</v>
      </c>
      <c r="O52" s="381"/>
      <c r="P52" s="391">
        <f>Données!AC52</f>
        <v>0</v>
      </c>
      <c r="Q52" s="392">
        <f>Données!AD52</f>
        <v>0</v>
      </c>
      <c r="R52" s="393">
        <f t="shared" si="9"/>
        <v>0</v>
      </c>
      <c r="S52" s="394">
        <f t="shared" si="10"/>
        <v>0</v>
      </c>
      <c r="T52" s="393">
        <f t="shared" si="11"/>
        <v>31253.19433597181</v>
      </c>
      <c r="U52" s="395">
        <f t="shared" si="5"/>
        <v>31253.19433597181</v>
      </c>
    </row>
    <row r="53" spans="1:21" x14ac:dyDescent="0.25">
      <c r="A53" s="202">
        <f>Données!A53</f>
        <v>5484</v>
      </c>
      <c r="B53" s="203" t="str">
        <f>Données!B53</f>
        <v>Gollion</v>
      </c>
      <c r="C53" s="387">
        <f>Données!C53</f>
        <v>1064</v>
      </c>
      <c r="D53" s="379">
        <f t="shared" si="0"/>
        <v>1000</v>
      </c>
      <c r="E53" s="379">
        <f t="shared" si="6"/>
        <v>64</v>
      </c>
      <c r="F53" s="388">
        <f t="shared" si="15"/>
        <v>0</v>
      </c>
      <c r="G53" s="378">
        <f t="shared" si="15"/>
        <v>0</v>
      </c>
      <c r="H53" s="379">
        <f t="shared" si="15"/>
        <v>0</v>
      </c>
      <c r="I53" s="388">
        <f t="shared" si="15"/>
        <v>0</v>
      </c>
      <c r="J53" s="389">
        <f t="shared" si="2"/>
        <v>0</v>
      </c>
      <c r="K53" s="378"/>
      <c r="L53" s="379">
        <f t="shared" si="3"/>
        <v>-156730.95944609298</v>
      </c>
      <c r="M53" s="388">
        <f t="shared" si="8"/>
        <v>631893.49465470656</v>
      </c>
      <c r="N53" s="390">
        <f t="shared" si="4"/>
        <v>475162.53520861361</v>
      </c>
      <c r="O53" s="381"/>
      <c r="P53" s="391">
        <f>Données!AC53</f>
        <v>0</v>
      </c>
      <c r="Q53" s="392">
        <f>Données!AD53</f>
        <v>0</v>
      </c>
      <c r="R53" s="393">
        <f t="shared" si="9"/>
        <v>0</v>
      </c>
      <c r="S53" s="394">
        <f t="shared" si="10"/>
        <v>0</v>
      </c>
      <c r="T53" s="393">
        <f t="shared" si="11"/>
        <v>107616.17726043367</v>
      </c>
      <c r="U53" s="395">
        <f t="shared" si="5"/>
        <v>107616.17726043367</v>
      </c>
    </row>
    <row r="54" spans="1:21" x14ac:dyDescent="0.25">
      <c r="A54" s="202">
        <f>Données!A54</f>
        <v>5485</v>
      </c>
      <c r="B54" s="203" t="str">
        <f>Données!B54</f>
        <v>Grancy</v>
      </c>
      <c r="C54" s="387">
        <f>Données!C54</f>
        <v>540</v>
      </c>
      <c r="D54" s="379">
        <f t="shared" si="0"/>
        <v>540</v>
      </c>
      <c r="E54" s="379">
        <f t="shared" si="6"/>
        <v>0</v>
      </c>
      <c r="F54" s="388">
        <f t="shared" si="15"/>
        <v>0</v>
      </c>
      <c r="G54" s="378">
        <f t="shared" si="15"/>
        <v>0</v>
      </c>
      <c r="H54" s="379">
        <f t="shared" si="15"/>
        <v>0</v>
      </c>
      <c r="I54" s="388">
        <f t="shared" si="15"/>
        <v>0</v>
      </c>
      <c r="J54" s="389">
        <f t="shared" si="2"/>
        <v>0</v>
      </c>
      <c r="K54" s="378"/>
      <c r="L54" s="379">
        <f t="shared" si="3"/>
        <v>-71772.997032640938</v>
      </c>
      <c r="M54" s="388">
        <f t="shared" si="8"/>
        <v>320697.82623453153</v>
      </c>
      <c r="N54" s="390">
        <f t="shared" si="4"/>
        <v>248924.82920189059</v>
      </c>
      <c r="O54" s="381"/>
      <c r="P54" s="391">
        <f>Données!AC54</f>
        <v>0</v>
      </c>
      <c r="Q54" s="392">
        <f>Données!AD54</f>
        <v>0</v>
      </c>
      <c r="R54" s="393">
        <f t="shared" si="9"/>
        <v>0</v>
      </c>
      <c r="S54" s="394">
        <f t="shared" si="10"/>
        <v>0</v>
      </c>
      <c r="T54" s="393">
        <f t="shared" si="11"/>
        <v>54617.232820144905</v>
      </c>
      <c r="U54" s="395">
        <f t="shared" si="5"/>
        <v>54617.232820144905</v>
      </c>
    </row>
    <row r="55" spans="1:21" x14ac:dyDescent="0.25">
      <c r="A55" s="202">
        <f>Données!A55</f>
        <v>5486</v>
      </c>
      <c r="B55" s="203" t="str">
        <f>Données!B55</f>
        <v>L'Isle</v>
      </c>
      <c r="C55" s="387">
        <f>Données!C55</f>
        <v>1096</v>
      </c>
      <c r="D55" s="379">
        <f t="shared" si="0"/>
        <v>1000</v>
      </c>
      <c r="E55" s="379">
        <f t="shared" si="6"/>
        <v>96</v>
      </c>
      <c r="F55" s="388">
        <f t="shared" si="15"/>
        <v>0</v>
      </c>
      <c r="G55" s="378">
        <f t="shared" si="15"/>
        <v>0</v>
      </c>
      <c r="H55" s="379">
        <f t="shared" si="15"/>
        <v>0</v>
      </c>
      <c r="I55" s="388">
        <f t="shared" si="15"/>
        <v>0</v>
      </c>
      <c r="J55" s="389">
        <f t="shared" si="2"/>
        <v>0</v>
      </c>
      <c r="K55" s="378"/>
      <c r="L55" s="379">
        <f t="shared" si="3"/>
        <v>-168639.96043521268</v>
      </c>
      <c r="M55" s="388">
        <f t="shared" si="8"/>
        <v>650897.81028341956</v>
      </c>
      <c r="N55" s="390">
        <f t="shared" si="4"/>
        <v>482257.84984820685</v>
      </c>
      <c r="O55" s="381"/>
      <c r="P55" s="391">
        <f>Données!AC55</f>
        <v>0</v>
      </c>
      <c r="Q55" s="392">
        <f>Données!AD55</f>
        <v>0</v>
      </c>
      <c r="R55" s="393">
        <f t="shared" si="9"/>
        <v>0</v>
      </c>
      <c r="S55" s="394">
        <f t="shared" si="10"/>
        <v>0</v>
      </c>
      <c r="T55" s="393">
        <f t="shared" si="11"/>
        <v>110852.75402014596</v>
      </c>
      <c r="U55" s="395">
        <f t="shared" si="5"/>
        <v>110852.75402014596</v>
      </c>
    </row>
    <row r="56" spans="1:21" x14ac:dyDescent="0.25">
      <c r="A56" s="202">
        <f>Données!A56</f>
        <v>5487</v>
      </c>
      <c r="B56" s="203" t="str">
        <f>Données!B56</f>
        <v>Lussery-Villars</v>
      </c>
      <c r="C56" s="387">
        <f>Données!C56</f>
        <v>468</v>
      </c>
      <c r="D56" s="379">
        <f t="shared" si="0"/>
        <v>468</v>
      </c>
      <c r="E56" s="379">
        <f t="shared" si="6"/>
        <v>0</v>
      </c>
      <c r="F56" s="388">
        <f t="shared" si="15"/>
        <v>0</v>
      </c>
      <c r="G56" s="378">
        <f t="shared" si="15"/>
        <v>0</v>
      </c>
      <c r="H56" s="379">
        <f t="shared" si="15"/>
        <v>0</v>
      </c>
      <c r="I56" s="388">
        <f t="shared" si="15"/>
        <v>0</v>
      </c>
      <c r="J56" s="389">
        <f t="shared" si="2"/>
        <v>0</v>
      </c>
      <c r="K56" s="378"/>
      <c r="L56" s="379">
        <f t="shared" si="3"/>
        <v>-62203.264094955484</v>
      </c>
      <c r="M56" s="388">
        <f t="shared" si="8"/>
        <v>277938.11606992729</v>
      </c>
      <c r="N56" s="390">
        <f t="shared" si="4"/>
        <v>215734.8519749718</v>
      </c>
      <c r="O56" s="381"/>
      <c r="P56" s="391">
        <f>Données!AC56</f>
        <v>0</v>
      </c>
      <c r="Q56" s="392">
        <f>Données!AD56</f>
        <v>0</v>
      </c>
      <c r="R56" s="393">
        <f t="shared" si="9"/>
        <v>0</v>
      </c>
      <c r="S56" s="394">
        <f t="shared" si="10"/>
        <v>0</v>
      </c>
      <c r="T56" s="393">
        <f t="shared" si="11"/>
        <v>47334.935110792256</v>
      </c>
      <c r="U56" s="395">
        <f t="shared" si="5"/>
        <v>47334.935110792256</v>
      </c>
    </row>
    <row r="57" spans="1:21" x14ac:dyDescent="0.25">
      <c r="A57" s="202">
        <f>Données!A57</f>
        <v>5488</v>
      </c>
      <c r="B57" s="203" t="str">
        <f>Données!B57</f>
        <v>Mauraz</v>
      </c>
      <c r="C57" s="387">
        <f>Données!C57</f>
        <v>67</v>
      </c>
      <c r="D57" s="379">
        <f t="shared" si="0"/>
        <v>67</v>
      </c>
      <c r="E57" s="379">
        <f t="shared" si="6"/>
        <v>0</v>
      </c>
      <c r="F57" s="388">
        <f t="shared" si="15"/>
        <v>0</v>
      </c>
      <c r="G57" s="378">
        <f t="shared" si="15"/>
        <v>0</v>
      </c>
      <c r="H57" s="379">
        <f t="shared" si="15"/>
        <v>0</v>
      </c>
      <c r="I57" s="388">
        <f t="shared" si="15"/>
        <v>0</v>
      </c>
      <c r="J57" s="389">
        <f t="shared" si="2"/>
        <v>0</v>
      </c>
      <c r="K57" s="378"/>
      <c r="L57" s="379">
        <f t="shared" si="3"/>
        <v>-8905.1681503461914</v>
      </c>
      <c r="M57" s="388">
        <f t="shared" si="8"/>
        <v>39790.285847617801</v>
      </c>
      <c r="N57" s="390">
        <f t="shared" si="4"/>
        <v>30885.117697271609</v>
      </c>
      <c r="O57" s="381"/>
      <c r="P57" s="391">
        <f>Données!AC57</f>
        <v>0</v>
      </c>
      <c r="Q57" s="392">
        <f>Données!AD57</f>
        <v>0</v>
      </c>
      <c r="R57" s="393">
        <f t="shared" si="9"/>
        <v>0</v>
      </c>
      <c r="S57" s="394">
        <f t="shared" si="10"/>
        <v>0</v>
      </c>
      <c r="T57" s="393">
        <f t="shared" si="11"/>
        <v>6776.5825906476093</v>
      </c>
      <c r="U57" s="395">
        <f t="shared" si="5"/>
        <v>6776.5825906476093</v>
      </c>
    </row>
    <row r="58" spans="1:21" x14ac:dyDescent="0.25">
      <c r="A58" s="202">
        <f>Données!A58</f>
        <v>5489</v>
      </c>
      <c r="B58" s="203" t="str">
        <f>Données!B58</f>
        <v>Mex</v>
      </c>
      <c r="C58" s="387">
        <f>Données!C58</f>
        <v>809</v>
      </c>
      <c r="D58" s="379">
        <f t="shared" si="0"/>
        <v>809</v>
      </c>
      <c r="E58" s="379">
        <f t="shared" si="6"/>
        <v>0</v>
      </c>
      <c r="F58" s="388">
        <f t="shared" si="15"/>
        <v>0</v>
      </c>
      <c r="G58" s="378">
        <f t="shared" si="15"/>
        <v>0</v>
      </c>
      <c r="H58" s="379">
        <f t="shared" si="15"/>
        <v>0</v>
      </c>
      <c r="I58" s="388">
        <f t="shared" si="15"/>
        <v>0</v>
      </c>
      <c r="J58" s="389">
        <f t="shared" si="2"/>
        <v>0</v>
      </c>
      <c r="K58" s="378"/>
      <c r="L58" s="379">
        <f t="shared" si="3"/>
        <v>-107526.58259149357</v>
      </c>
      <c r="M58" s="388">
        <f t="shared" si="8"/>
        <v>480452.85448839999</v>
      </c>
      <c r="N58" s="390">
        <f t="shared" si="4"/>
        <v>372926.27189690643</v>
      </c>
      <c r="O58" s="381"/>
      <c r="P58" s="391">
        <f>Données!AC58</f>
        <v>0</v>
      </c>
      <c r="Q58" s="392">
        <f>Données!AD58</f>
        <v>0</v>
      </c>
      <c r="R58" s="393">
        <f t="shared" si="9"/>
        <v>0</v>
      </c>
      <c r="S58" s="394">
        <f t="shared" si="10"/>
        <v>0</v>
      </c>
      <c r="T58" s="393">
        <f t="shared" si="11"/>
        <v>81824.70620647636</v>
      </c>
      <c r="U58" s="395">
        <f t="shared" si="5"/>
        <v>81824.70620647636</v>
      </c>
    </row>
    <row r="59" spans="1:21" x14ac:dyDescent="0.25">
      <c r="A59" s="202">
        <f>Données!A59</f>
        <v>5490</v>
      </c>
      <c r="B59" s="203" t="str">
        <f>Données!B59</f>
        <v>Moiry</v>
      </c>
      <c r="C59" s="387">
        <f>Données!C59</f>
        <v>299</v>
      </c>
      <c r="D59" s="379">
        <f t="shared" si="0"/>
        <v>299</v>
      </c>
      <c r="E59" s="379">
        <f t="shared" si="6"/>
        <v>0</v>
      </c>
      <c r="F59" s="388">
        <f t="shared" ref="F59:I68" si="16">IF($C59&lt;F$4,0,IF($C59&gt;F$5,F$5-F$4,$C59-F$4))</f>
        <v>0</v>
      </c>
      <c r="G59" s="378">
        <f t="shared" si="16"/>
        <v>0</v>
      </c>
      <c r="H59" s="379">
        <f t="shared" si="16"/>
        <v>0</v>
      </c>
      <c r="I59" s="388">
        <f t="shared" si="16"/>
        <v>0</v>
      </c>
      <c r="J59" s="389">
        <f t="shared" si="2"/>
        <v>0</v>
      </c>
      <c r="K59" s="378"/>
      <c r="L59" s="379">
        <f t="shared" si="3"/>
        <v>-39740.97428288823</v>
      </c>
      <c r="M59" s="388">
        <f t="shared" si="8"/>
        <v>177571.57415578689</v>
      </c>
      <c r="N59" s="390">
        <f t="shared" si="4"/>
        <v>137830.59987289866</v>
      </c>
      <c r="O59" s="381"/>
      <c r="P59" s="391">
        <f>Données!AC59</f>
        <v>0</v>
      </c>
      <c r="Q59" s="392">
        <f>Données!AD59</f>
        <v>0</v>
      </c>
      <c r="R59" s="393">
        <f t="shared" si="9"/>
        <v>0</v>
      </c>
      <c r="S59" s="394">
        <f t="shared" si="10"/>
        <v>0</v>
      </c>
      <c r="T59" s="393">
        <f t="shared" si="11"/>
        <v>30241.764098561718</v>
      </c>
      <c r="U59" s="395">
        <f t="shared" si="5"/>
        <v>30241.764098561718</v>
      </c>
    </row>
    <row r="60" spans="1:21" x14ac:dyDescent="0.25">
      <c r="A60" s="202">
        <f>Données!A60</f>
        <v>5491</v>
      </c>
      <c r="B60" s="203" t="str">
        <f>Données!B60</f>
        <v>Mont-la-Ville</v>
      </c>
      <c r="C60" s="387">
        <f>Données!C60</f>
        <v>495</v>
      </c>
      <c r="D60" s="379">
        <f t="shared" si="0"/>
        <v>495</v>
      </c>
      <c r="E60" s="379">
        <f t="shared" si="6"/>
        <v>0</v>
      </c>
      <c r="F60" s="388">
        <f t="shared" si="16"/>
        <v>0</v>
      </c>
      <c r="G60" s="378">
        <f t="shared" si="16"/>
        <v>0</v>
      </c>
      <c r="H60" s="379">
        <f t="shared" si="16"/>
        <v>0</v>
      </c>
      <c r="I60" s="388">
        <f t="shared" si="16"/>
        <v>0</v>
      </c>
      <c r="J60" s="389">
        <f t="shared" si="2"/>
        <v>0</v>
      </c>
      <c r="K60" s="378"/>
      <c r="L60" s="379">
        <f t="shared" si="3"/>
        <v>-65791.913946587534</v>
      </c>
      <c r="M60" s="388">
        <f t="shared" si="8"/>
        <v>293973.00738165388</v>
      </c>
      <c r="N60" s="390">
        <f t="shared" si="4"/>
        <v>228181.09343506634</v>
      </c>
      <c r="O60" s="381"/>
      <c r="P60" s="391">
        <f>Données!AC60</f>
        <v>0</v>
      </c>
      <c r="Q60" s="392">
        <f>Données!AD60</f>
        <v>0</v>
      </c>
      <c r="R60" s="393">
        <f t="shared" si="9"/>
        <v>0</v>
      </c>
      <c r="S60" s="394">
        <f t="shared" si="10"/>
        <v>0</v>
      </c>
      <c r="T60" s="393">
        <f t="shared" si="11"/>
        <v>50065.796751799498</v>
      </c>
      <c r="U60" s="395">
        <f t="shared" si="5"/>
        <v>50065.796751799498</v>
      </c>
    </row>
    <row r="61" spans="1:21" x14ac:dyDescent="0.25">
      <c r="A61" s="202">
        <f>Données!A61</f>
        <v>5492</v>
      </c>
      <c r="B61" s="203" t="str">
        <f>Données!B61</f>
        <v>Montricher</v>
      </c>
      <c r="C61" s="387">
        <f>Données!C61</f>
        <v>943</v>
      </c>
      <c r="D61" s="379">
        <f t="shared" si="0"/>
        <v>943</v>
      </c>
      <c r="E61" s="379">
        <f t="shared" si="6"/>
        <v>0</v>
      </c>
      <c r="F61" s="388">
        <f t="shared" si="16"/>
        <v>0</v>
      </c>
      <c r="G61" s="378">
        <f t="shared" si="16"/>
        <v>0</v>
      </c>
      <c r="H61" s="379">
        <f t="shared" si="16"/>
        <v>0</v>
      </c>
      <c r="I61" s="388">
        <f t="shared" si="16"/>
        <v>0</v>
      </c>
      <c r="J61" s="389">
        <f t="shared" si="2"/>
        <v>0</v>
      </c>
      <c r="K61" s="378"/>
      <c r="L61" s="379">
        <f t="shared" si="3"/>
        <v>-125336.91889218595</v>
      </c>
      <c r="M61" s="388">
        <f t="shared" si="8"/>
        <v>560033.4261836356</v>
      </c>
      <c r="N61" s="390">
        <f t="shared" si="4"/>
        <v>434696.50729144964</v>
      </c>
      <c r="O61" s="381"/>
      <c r="P61" s="391">
        <f>Données!AC61</f>
        <v>0</v>
      </c>
      <c r="Q61" s="392">
        <f>Données!AD61</f>
        <v>0</v>
      </c>
      <c r="R61" s="393">
        <f t="shared" si="9"/>
        <v>0</v>
      </c>
      <c r="S61" s="394">
        <f t="shared" si="10"/>
        <v>0</v>
      </c>
      <c r="T61" s="393">
        <f t="shared" si="11"/>
        <v>95377.871387771564</v>
      </c>
      <c r="U61" s="395">
        <f t="shared" si="5"/>
        <v>95377.871387771564</v>
      </c>
    </row>
    <row r="62" spans="1:21" x14ac:dyDescent="0.25">
      <c r="A62" s="202">
        <f>Données!A62</f>
        <v>5493</v>
      </c>
      <c r="B62" s="203" t="str">
        <f>Données!B62</f>
        <v>Orny</v>
      </c>
      <c r="C62" s="387">
        <f>Données!C62</f>
        <v>497</v>
      </c>
      <c r="D62" s="379">
        <f t="shared" si="0"/>
        <v>497</v>
      </c>
      <c r="E62" s="379">
        <f t="shared" si="6"/>
        <v>0</v>
      </c>
      <c r="F62" s="388">
        <f t="shared" si="16"/>
        <v>0</v>
      </c>
      <c r="G62" s="378">
        <f t="shared" si="16"/>
        <v>0</v>
      </c>
      <c r="H62" s="379">
        <f t="shared" si="16"/>
        <v>0</v>
      </c>
      <c r="I62" s="388">
        <f t="shared" si="16"/>
        <v>0</v>
      </c>
      <c r="J62" s="389">
        <f t="shared" si="2"/>
        <v>0</v>
      </c>
      <c r="K62" s="378"/>
      <c r="L62" s="379">
        <f t="shared" si="3"/>
        <v>-66057.739861523238</v>
      </c>
      <c r="M62" s="388">
        <f t="shared" si="8"/>
        <v>295160.77710844844</v>
      </c>
      <c r="N62" s="390">
        <f t="shared" si="4"/>
        <v>229103.0372469252</v>
      </c>
      <c r="O62" s="381"/>
      <c r="P62" s="391">
        <f>Données!AC62</f>
        <v>0</v>
      </c>
      <c r="Q62" s="392">
        <f>Données!AD62</f>
        <v>0</v>
      </c>
      <c r="R62" s="393">
        <f t="shared" si="9"/>
        <v>0</v>
      </c>
      <c r="S62" s="394">
        <f t="shared" si="10"/>
        <v>0</v>
      </c>
      <c r="T62" s="393">
        <f t="shared" si="11"/>
        <v>50268.082799281518</v>
      </c>
      <c r="U62" s="395">
        <f t="shared" si="5"/>
        <v>50268.082799281518</v>
      </c>
    </row>
    <row r="63" spans="1:21" x14ac:dyDescent="0.25">
      <c r="A63" s="202">
        <f>Données!A63</f>
        <v>5495</v>
      </c>
      <c r="B63" s="203" t="str">
        <f>Données!B63</f>
        <v>Penthalaz</v>
      </c>
      <c r="C63" s="387">
        <f>Données!C63</f>
        <v>3177</v>
      </c>
      <c r="D63" s="379">
        <f t="shared" si="0"/>
        <v>1000</v>
      </c>
      <c r="E63" s="379">
        <f t="shared" si="6"/>
        <v>2000</v>
      </c>
      <c r="F63" s="388">
        <f t="shared" si="16"/>
        <v>177</v>
      </c>
      <c r="G63" s="378">
        <f t="shared" si="16"/>
        <v>0</v>
      </c>
      <c r="H63" s="379">
        <f t="shared" si="16"/>
        <v>0</v>
      </c>
      <c r="I63" s="388">
        <f t="shared" si="16"/>
        <v>0</v>
      </c>
      <c r="J63" s="389">
        <f t="shared" si="2"/>
        <v>0</v>
      </c>
      <c r="K63" s="378"/>
      <c r="L63" s="379">
        <f t="shared" si="3"/>
        <v>-994853.48664688435</v>
      </c>
      <c r="M63" s="388">
        <f t="shared" si="8"/>
        <v>1886772.2110131604</v>
      </c>
      <c r="N63" s="390">
        <f t="shared" si="4"/>
        <v>891918.72436627606</v>
      </c>
      <c r="O63" s="381"/>
      <c r="P63" s="391">
        <f>Données!AC63</f>
        <v>0</v>
      </c>
      <c r="Q63" s="392">
        <f>Données!AD63</f>
        <v>0</v>
      </c>
      <c r="R63" s="393">
        <f t="shared" si="9"/>
        <v>0</v>
      </c>
      <c r="S63" s="394">
        <f t="shared" si="10"/>
        <v>0</v>
      </c>
      <c r="T63" s="393">
        <f t="shared" si="11"/>
        <v>321331.38642518589</v>
      </c>
      <c r="U63" s="395">
        <f t="shared" si="5"/>
        <v>321331.38642518589</v>
      </c>
    </row>
    <row r="64" spans="1:21" x14ac:dyDescent="0.25">
      <c r="A64" s="202">
        <f>Données!A64</f>
        <v>5496</v>
      </c>
      <c r="B64" s="203" t="str">
        <f>Données!B64</f>
        <v>Penthaz</v>
      </c>
      <c r="C64" s="387">
        <f>Données!C64</f>
        <v>1946</v>
      </c>
      <c r="D64" s="379">
        <f t="shared" si="0"/>
        <v>1000</v>
      </c>
      <c r="E64" s="379">
        <f t="shared" si="6"/>
        <v>946</v>
      </c>
      <c r="F64" s="388">
        <f t="shared" si="16"/>
        <v>0</v>
      </c>
      <c r="G64" s="378">
        <f t="shared" si="16"/>
        <v>0</v>
      </c>
      <c r="H64" s="379">
        <f t="shared" si="16"/>
        <v>0</v>
      </c>
      <c r="I64" s="388">
        <f t="shared" si="16"/>
        <v>0</v>
      </c>
      <c r="J64" s="389">
        <f t="shared" si="2"/>
        <v>0</v>
      </c>
      <c r="K64" s="378"/>
      <c r="L64" s="379">
        <f t="shared" si="3"/>
        <v>-484972.79920870427</v>
      </c>
      <c r="M64" s="388">
        <f t="shared" si="8"/>
        <v>1155699.9441711081</v>
      </c>
      <c r="N64" s="390">
        <f t="shared" si="4"/>
        <v>670727.14496240381</v>
      </c>
      <c r="O64" s="381"/>
      <c r="P64" s="391">
        <f>Données!AC64</f>
        <v>0</v>
      </c>
      <c r="Q64" s="392">
        <f>Données!AD64</f>
        <v>0</v>
      </c>
      <c r="R64" s="393">
        <f t="shared" si="9"/>
        <v>0</v>
      </c>
      <c r="S64" s="394">
        <f t="shared" si="10"/>
        <v>0</v>
      </c>
      <c r="T64" s="393">
        <f t="shared" si="11"/>
        <v>196824.3242000037</v>
      </c>
      <c r="U64" s="395">
        <f t="shared" si="5"/>
        <v>196824.3242000037</v>
      </c>
    </row>
    <row r="65" spans="1:21" x14ac:dyDescent="0.25">
      <c r="A65" s="202">
        <f>Données!A65</f>
        <v>5497</v>
      </c>
      <c r="B65" s="203" t="str">
        <f>Données!B65</f>
        <v>Pompaples</v>
      </c>
      <c r="C65" s="387">
        <f>Données!C65</f>
        <v>930</v>
      </c>
      <c r="D65" s="379">
        <f t="shared" si="0"/>
        <v>930</v>
      </c>
      <c r="E65" s="379">
        <f t="shared" si="6"/>
        <v>0</v>
      </c>
      <c r="F65" s="388">
        <f t="shared" si="16"/>
        <v>0</v>
      </c>
      <c r="G65" s="378">
        <f t="shared" si="16"/>
        <v>0</v>
      </c>
      <c r="H65" s="379">
        <f t="shared" si="16"/>
        <v>0</v>
      </c>
      <c r="I65" s="388">
        <f t="shared" si="16"/>
        <v>0</v>
      </c>
      <c r="J65" s="389">
        <f t="shared" si="2"/>
        <v>0</v>
      </c>
      <c r="K65" s="378"/>
      <c r="L65" s="379">
        <f t="shared" si="3"/>
        <v>-123609.05044510384</v>
      </c>
      <c r="M65" s="388">
        <f t="shared" si="8"/>
        <v>552312.92295947089</v>
      </c>
      <c r="N65" s="390">
        <f t="shared" si="4"/>
        <v>428703.87251436705</v>
      </c>
      <c r="O65" s="381"/>
      <c r="P65" s="391">
        <f>Données!AC65</f>
        <v>0</v>
      </c>
      <c r="Q65" s="392">
        <f>Données!AD65</f>
        <v>0</v>
      </c>
      <c r="R65" s="393">
        <f t="shared" si="9"/>
        <v>0</v>
      </c>
      <c r="S65" s="394">
        <f t="shared" si="10"/>
        <v>0</v>
      </c>
      <c r="T65" s="393">
        <f t="shared" si="11"/>
        <v>94063.012079138454</v>
      </c>
      <c r="U65" s="395">
        <f t="shared" si="5"/>
        <v>94063.012079138454</v>
      </c>
    </row>
    <row r="66" spans="1:21" x14ac:dyDescent="0.25">
      <c r="A66" s="202">
        <f>Données!A66</f>
        <v>5498</v>
      </c>
      <c r="B66" s="203" t="str">
        <f>Données!B66</f>
        <v>La Sarraz</v>
      </c>
      <c r="C66" s="387">
        <f>Données!C66</f>
        <v>2618</v>
      </c>
      <c r="D66" s="379">
        <f t="shared" si="0"/>
        <v>1000</v>
      </c>
      <c r="E66" s="379">
        <f t="shared" si="6"/>
        <v>1618</v>
      </c>
      <c r="F66" s="388">
        <f t="shared" si="16"/>
        <v>0</v>
      </c>
      <c r="G66" s="378">
        <f t="shared" si="16"/>
        <v>0</v>
      </c>
      <c r="H66" s="379">
        <f t="shared" si="16"/>
        <v>0</v>
      </c>
      <c r="I66" s="388">
        <f t="shared" si="16"/>
        <v>0</v>
      </c>
      <c r="J66" s="389">
        <f t="shared" si="2"/>
        <v>0</v>
      </c>
      <c r="K66" s="378"/>
      <c r="L66" s="379">
        <f t="shared" si="3"/>
        <v>-735061.81998021761</v>
      </c>
      <c r="M66" s="388">
        <f t="shared" si="8"/>
        <v>1554790.5723740805</v>
      </c>
      <c r="N66" s="390">
        <f t="shared" si="4"/>
        <v>819728.75239386293</v>
      </c>
      <c r="O66" s="381"/>
      <c r="P66" s="391">
        <f>Données!AC66</f>
        <v>0</v>
      </c>
      <c r="Q66" s="392">
        <f>Données!AD66</f>
        <v>0</v>
      </c>
      <c r="R66" s="393">
        <f t="shared" si="9"/>
        <v>0</v>
      </c>
      <c r="S66" s="394">
        <f t="shared" si="10"/>
        <v>0</v>
      </c>
      <c r="T66" s="393">
        <f t="shared" si="11"/>
        <v>264792.43615396181</v>
      </c>
      <c r="U66" s="395">
        <f t="shared" si="5"/>
        <v>264792.43615396181</v>
      </c>
    </row>
    <row r="67" spans="1:21" x14ac:dyDescent="0.25">
      <c r="A67" s="202">
        <f>Données!A67</f>
        <v>5499</v>
      </c>
      <c r="B67" s="203" t="str">
        <f>Données!B67</f>
        <v>Senarclens</v>
      </c>
      <c r="C67" s="387">
        <f>Données!C67</f>
        <v>480</v>
      </c>
      <c r="D67" s="379">
        <f t="shared" si="0"/>
        <v>480</v>
      </c>
      <c r="E67" s="379">
        <f t="shared" si="6"/>
        <v>0</v>
      </c>
      <c r="F67" s="388">
        <f t="shared" si="16"/>
        <v>0</v>
      </c>
      <c r="G67" s="378">
        <f t="shared" si="16"/>
        <v>0</v>
      </c>
      <c r="H67" s="379">
        <f t="shared" si="16"/>
        <v>0</v>
      </c>
      <c r="I67" s="388">
        <f t="shared" si="16"/>
        <v>0</v>
      </c>
      <c r="J67" s="389">
        <f t="shared" si="2"/>
        <v>0</v>
      </c>
      <c r="K67" s="378"/>
      <c r="L67" s="379">
        <f t="shared" si="3"/>
        <v>-63798.219584569728</v>
      </c>
      <c r="M67" s="388">
        <f t="shared" si="8"/>
        <v>285064.73443069466</v>
      </c>
      <c r="N67" s="390">
        <f t="shared" si="4"/>
        <v>221266.51484612492</v>
      </c>
      <c r="O67" s="381"/>
      <c r="P67" s="391">
        <f>Données!AC67</f>
        <v>0</v>
      </c>
      <c r="Q67" s="392">
        <f>Données!AD67</f>
        <v>0</v>
      </c>
      <c r="R67" s="393">
        <f t="shared" si="9"/>
        <v>0</v>
      </c>
      <c r="S67" s="394">
        <f t="shared" si="10"/>
        <v>0</v>
      </c>
      <c r="T67" s="393">
        <f t="shared" si="11"/>
        <v>48548.651395684363</v>
      </c>
      <c r="U67" s="395">
        <f t="shared" si="5"/>
        <v>48548.651395684363</v>
      </c>
    </row>
    <row r="68" spans="1:21" x14ac:dyDescent="0.25">
      <c r="A68" s="202">
        <f>Données!A68</f>
        <v>5501</v>
      </c>
      <c r="B68" s="203" t="str">
        <f>Données!B68</f>
        <v>Sullens</v>
      </c>
      <c r="C68" s="387">
        <f>Données!C68</f>
        <v>1225</v>
      </c>
      <c r="D68" s="379">
        <f t="shared" si="0"/>
        <v>1000</v>
      </c>
      <c r="E68" s="379">
        <f t="shared" si="6"/>
        <v>225</v>
      </c>
      <c r="F68" s="388">
        <f t="shared" si="16"/>
        <v>0</v>
      </c>
      <c r="G68" s="378">
        <f t="shared" si="16"/>
        <v>0</v>
      </c>
      <c r="H68" s="379">
        <f t="shared" si="16"/>
        <v>0</v>
      </c>
      <c r="I68" s="388">
        <f t="shared" si="16"/>
        <v>0</v>
      </c>
      <c r="J68" s="389">
        <f t="shared" si="2"/>
        <v>0</v>
      </c>
      <c r="K68" s="378"/>
      <c r="L68" s="379">
        <f t="shared" si="3"/>
        <v>-216648.12067260139</v>
      </c>
      <c r="M68" s="388">
        <f t="shared" si="8"/>
        <v>727508.95766166877</v>
      </c>
      <c r="N68" s="390">
        <f t="shared" si="4"/>
        <v>510860.83698906738</v>
      </c>
      <c r="O68" s="381"/>
      <c r="P68" s="391">
        <f>Données!AC68</f>
        <v>0</v>
      </c>
      <c r="Q68" s="392">
        <f>Données!AD68</f>
        <v>0</v>
      </c>
      <c r="R68" s="393">
        <f t="shared" si="9"/>
        <v>0</v>
      </c>
      <c r="S68" s="394">
        <f t="shared" si="10"/>
        <v>0</v>
      </c>
      <c r="T68" s="393">
        <f t="shared" si="11"/>
        <v>123900.20408273613</v>
      </c>
      <c r="U68" s="395">
        <f t="shared" si="5"/>
        <v>123900.20408273613</v>
      </c>
    </row>
    <row r="69" spans="1:21" x14ac:dyDescent="0.25">
      <c r="A69" s="202">
        <f>Données!A69</f>
        <v>5503</v>
      </c>
      <c r="B69" s="203" t="str">
        <f>Données!B69</f>
        <v>Vufflens-la-Ville</v>
      </c>
      <c r="C69" s="387">
        <f>Données!C69</f>
        <v>1342</v>
      </c>
      <c r="D69" s="379">
        <f t="shared" si="0"/>
        <v>1000</v>
      </c>
      <c r="E69" s="379">
        <f t="shared" si="6"/>
        <v>342</v>
      </c>
      <c r="F69" s="388">
        <f t="shared" ref="F69:I78" si="17">IF($C69&lt;F$4,0,IF($C69&gt;F$5,F$5-F$4,$C69-F$4))</f>
        <v>0</v>
      </c>
      <c r="G69" s="378">
        <f t="shared" si="17"/>
        <v>0</v>
      </c>
      <c r="H69" s="379">
        <f t="shared" si="17"/>
        <v>0</v>
      </c>
      <c r="I69" s="388">
        <f t="shared" si="17"/>
        <v>0</v>
      </c>
      <c r="J69" s="389">
        <f t="shared" si="2"/>
        <v>0</v>
      </c>
      <c r="K69" s="378"/>
      <c r="L69" s="379">
        <f t="shared" si="3"/>
        <v>-260190.40553907026</v>
      </c>
      <c r="M69" s="388">
        <f t="shared" si="8"/>
        <v>796993.48667915049</v>
      </c>
      <c r="N69" s="390">
        <f t="shared" si="4"/>
        <v>536803.08114008023</v>
      </c>
      <c r="O69" s="381"/>
      <c r="P69" s="391">
        <f>Données!AC69</f>
        <v>0</v>
      </c>
      <c r="Q69" s="392">
        <f>Données!AD69</f>
        <v>0</v>
      </c>
      <c r="R69" s="393">
        <f t="shared" si="9"/>
        <v>0</v>
      </c>
      <c r="S69" s="394">
        <f t="shared" si="10"/>
        <v>0</v>
      </c>
      <c r="T69" s="393">
        <f t="shared" si="11"/>
        <v>135733.93786043421</v>
      </c>
      <c r="U69" s="395">
        <f t="shared" si="5"/>
        <v>135733.93786043421</v>
      </c>
    </row>
    <row r="70" spans="1:21" x14ac:dyDescent="0.25">
      <c r="A70" s="202">
        <f>Données!A70</f>
        <v>5511</v>
      </c>
      <c r="B70" s="203" t="str">
        <f>Données!B70</f>
        <v>Assens</v>
      </c>
      <c r="C70" s="387">
        <f>Données!C70</f>
        <v>1711</v>
      </c>
      <c r="D70" s="379">
        <f t="shared" si="0"/>
        <v>1000</v>
      </c>
      <c r="E70" s="379">
        <f t="shared" si="6"/>
        <v>711</v>
      </c>
      <c r="F70" s="388">
        <f t="shared" si="17"/>
        <v>0</v>
      </c>
      <c r="G70" s="378">
        <f t="shared" si="17"/>
        <v>0</v>
      </c>
      <c r="H70" s="379">
        <f t="shared" si="17"/>
        <v>0</v>
      </c>
      <c r="I70" s="388">
        <f t="shared" si="17"/>
        <v>0</v>
      </c>
      <c r="J70" s="389">
        <f t="shared" si="2"/>
        <v>0</v>
      </c>
      <c r="K70" s="378"/>
      <c r="L70" s="379">
        <f t="shared" si="3"/>
        <v>-397516.07319485658</v>
      </c>
      <c r="M70" s="388">
        <f t="shared" si="8"/>
        <v>1016137.0012727471</v>
      </c>
      <c r="N70" s="390">
        <f t="shared" si="4"/>
        <v>618620.92807789054</v>
      </c>
      <c r="O70" s="381"/>
      <c r="P70" s="391">
        <f>Données!AC70</f>
        <v>0</v>
      </c>
      <c r="Q70" s="392">
        <f>Données!AD70</f>
        <v>0</v>
      </c>
      <c r="R70" s="393">
        <f t="shared" si="9"/>
        <v>0</v>
      </c>
      <c r="S70" s="394">
        <f t="shared" si="10"/>
        <v>0</v>
      </c>
      <c r="T70" s="393">
        <f t="shared" si="11"/>
        <v>173055.71362086656</v>
      </c>
      <c r="U70" s="395">
        <f t="shared" si="5"/>
        <v>173055.71362086656</v>
      </c>
    </row>
    <row r="71" spans="1:21" x14ac:dyDescent="0.25">
      <c r="A71" s="202">
        <f>Données!A71</f>
        <v>5512</v>
      </c>
      <c r="B71" s="203" t="str">
        <f>Données!B71</f>
        <v>Bercher</v>
      </c>
      <c r="C71" s="387">
        <f>Données!C71</f>
        <v>1344</v>
      </c>
      <c r="D71" s="379">
        <f t="shared" si="0"/>
        <v>1000</v>
      </c>
      <c r="E71" s="379">
        <f t="shared" si="6"/>
        <v>344</v>
      </c>
      <c r="F71" s="388">
        <f t="shared" si="17"/>
        <v>0</v>
      </c>
      <c r="G71" s="378">
        <f t="shared" si="17"/>
        <v>0</v>
      </c>
      <c r="H71" s="379">
        <f t="shared" si="17"/>
        <v>0</v>
      </c>
      <c r="I71" s="388">
        <f t="shared" si="17"/>
        <v>0</v>
      </c>
      <c r="J71" s="389">
        <f t="shared" si="2"/>
        <v>0</v>
      </c>
      <c r="K71" s="378"/>
      <c r="L71" s="379">
        <f t="shared" si="3"/>
        <v>-260934.71810089023</v>
      </c>
      <c r="M71" s="388">
        <f t="shared" si="8"/>
        <v>798181.25640594505</v>
      </c>
      <c r="N71" s="390">
        <f t="shared" si="4"/>
        <v>537246.53830505488</v>
      </c>
      <c r="O71" s="381"/>
      <c r="P71" s="391">
        <f>Données!AC71</f>
        <v>0</v>
      </c>
      <c r="Q71" s="392">
        <f>Données!AD71</f>
        <v>0</v>
      </c>
      <c r="R71" s="393">
        <f t="shared" si="9"/>
        <v>0</v>
      </c>
      <c r="S71" s="394">
        <f t="shared" si="10"/>
        <v>0</v>
      </c>
      <c r="T71" s="393">
        <f t="shared" si="11"/>
        <v>135936.22390791622</v>
      </c>
      <c r="U71" s="395">
        <f t="shared" si="5"/>
        <v>135936.22390791622</v>
      </c>
    </row>
    <row r="72" spans="1:21" x14ac:dyDescent="0.25">
      <c r="A72" s="202">
        <f>Données!A72</f>
        <v>5514</v>
      </c>
      <c r="B72" s="203" t="str">
        <f>Données!B72</f>
        <v>Bottens</v>
      </c>
      <c r="C72" s="387">
        <f>Données!C72</f>
        <v>1358</v>
      </c>
      <c r="D72" s="379">
        <f t="shared" ref="D72:D135" si="18">IF(C72&gt;$D$5,$D$5-$D$4,C72)</f>
        <v>1000</v>
      </c>
      <c r="E72" s="379">
        <f t="shared" si="6"/>
        <v>358</v>
      </c>
      <c r="F72" s="388">
        <f t="shared" si="17"/>
        <v>0</v>
      </c>
      <c r="G72" s="378">
        <f t="shared" si="17"/>
        <v>0</v>
      </c>
      <c r="H72" s="379">
        <f t="shared" si="17"/>
        <v>0</v>
      </c>
      <c r="I72" s="388">
        <f t="shared" si="17"/>
        <v>0</v>
      </c>
      <c r="J72" s="389">
        <f t="shared" ref="J72:J135" si="19">IF($C72&lt;J$4,0,$C72-J$4)</f>
        <v>0</v>
      </c>
      <c r="K72" s="378"/>
      <c r="L72" s="379">
        <f t="shared" ref="L72:L135" si="20">-SUMPRODUCT($D$6:$J$6,D72:J72)</f>
        <v>-266144.90603363008</v>
      </c>
      <c r="M72" s="388">
        <f t="shared" si="8"/>
        <v>806495.64449350699</v>
      </c>
      <c r="N72" s="390">
        <f t="shared" ref="N72:N135" si="21">SUM(L72:M72)</f>
        <v>540350.73845987697</v>
      </c>
      <c r="O72" s="381"/>
      <c r="P72" s="391">
        <f>Données!AC72</f>
        <v>0</v>
      </c>
      <c r="Q72" s="392">
        <f>Données!AD72</f>
        <v>0</v>
      </c>
      <c r="R72" s="393">
        <f t="shared" si="9"/>
        <v>0</v>
      </c>
      <c r="S72" s="394">
        <f t="shared" si="10"/>
        <v>0</v>
      </c>
      <c r="T72" s="393">
        <f t="shared" si="11"/>
        <v>137352.22624029033</v>
      </c>
      <c r="U72" s="395">
        <f t="shared" ref="U72:U135" si="22">S72+T72</f>
        <v>137352.22624029033</v>
      </c>
    </row>
    <row r="73" spans="1:21" x14ac:dyDescent="0.25">
      <c r="A73" s="202">
        <f>Données!A73</f>
        <v>5515</v>
      </c>
      <c r="B73" s="203" t="str">
        <f>Données!B73</f>
        <v>Bretigny-sur-Morrens</v>
      </c>
      <c r="C73" s="387">
        <f>Données!C73</f>
        <v>898</v>
      </c>
      <c r="D73" s="379">
        <f t="shared" si="18"/>
        <v>898</v>
      </c>
      <c r="E73" s="379">
        <f t="shared" ref="E73:E136" si="23">IF(C73&lt;$E$4,0,IF(C73&gt;$E$5,$E$5-$E$4,C73-$E$4))</f>
        <v>0</v>
      </c>
      <c r="F73" s="388">
        <f t="shared" si="17"/>
        <v>0</v>
      </c>
      <c r="G73" s="378">
        <f t="shared" si="17"/>
        <v>0</v>
      </c>
      <c r="H73" s="379">
        <f t="shared" si="17"/>
        <v>0</v>
      </c>
      <c r="I73" s="388">
        <f t="shared" si="17"/>
        <v>0</v>
      </c>
      <c r="J73" s="389">
        <f t="shared" si="19"/>
        <v>0</v>
      </c>
      <c r="K73" s="378"/>
      <c r="L73" s="379">
        <f t="shared" si="20"/>
        <v>-119355.83580613253</v>
      </c>
      <c r="M73" s="388">
        <f t="shared" ref="M73:M136" si="24">(-$L$6)/($C$308)*C73</f>
        <v>533308.60733075801</v>
      </c>
      <c r="N73" s="390">
        <f t="shared" si="21"/>
        <v>413952.77152462548</v>
      </c>
      <c r="O73" s="381"/>
      <c r="P73" s="391">
        <f>Données!AC73</f>
        <v>0</v>
      </c>
      <c r="Q73" s="392">
        <f>Données!AD73</f>
        <v>0</v>
      </c>
      <c r="R73" s="393">
        <f t="shared" ref="R73:R136" si="25">SUM(P73:Q73)</f>
        <v>0</v>
      </c>
      <c r="S73" s="394">
        <f t="shared" ref="S73:S136" si="26">-R73*$P$6</f>
        <v>0</v>
      </c>
      <c r="T73" s="393">
        <f t="shared" ref="T73:T136" si="27">-$S$6/$C$308*C73</f>
        <v>90826.435319426164</v>
      </c>
      <c r="U73" s="395">
        <f t="shared" si="22"/>
        <v>90826.435319426164</v>
      </c>
    </row>
    <row r="74" spans="1:21" x14ac:dyDescent="0.25">
      <c r="A74" s="202">
        <f>Données!A74</f>
        <v>5516</v>
      </c>
      <c r="B74" s="203" t="str">
        <f>Données!B74</f>
        <v>Cugy</v>
      </c>
      <c r="C74" s="387">
        <f>Données!C74</f>
        <v>2790</v>
      </c>
      <c r="D74" s="379">
        <f t="shared" si="18"/>
        <v>1000</v>
      </c>
      <c r="E74" s="379">
        <f t="shared" si="23"/>
        <v>1790</v>
      </c>
      <c r="F74" s="388">
        <f t="shared" si="17"/>
        <v>0</v>
      </c>
      <c r="G74" s="378">
        <f t="shared" si="17"/>
        <v>0</v>
      </c>
      <c r="H74" s="379">
        <f t="shared" si="17"/>
        <v>0</v>
      </c>
      <c r="I74" s="388">
        <f t="shared" si="17"/>
        <v>0</v>
      </c>
      <c r="J74" s="389">
        <f t="shared" si="19"/>
        <v>0</v>
      </c>
      <c r="K74" s="378"/>
      <c r="L74" s="379">
        <f t="shared" si="20"/>
        <v>-799072.70029673586</v>
      </c>
      <c r="M74" s="388">
        <f t="shared" si="24"/>
        <v>1656938.7688784129</v>
      </c>
      <c r="N74" s="390">
        <f t="shared" si="21"/>
        <v>857866.06858167704</v>
      </c>
      <c r="O74" s="381"/>
      <c r="P74" s="391">
        <f>Données!AC74</f>
        <v>0</v>
      </c>
      <c r="Q74" s="392">
        <f>Données!AD74</f>
        <v>0</v>
      </c>
      <c r="R74" s="393">
        <f t="shared" si="25"/>
        <v>0</v>
      </c>
      <c r="S74" s="394">
        <f t="shared" si="26"/>
        <v>0</v>
      </c>
      <c r="T74" s="393">
        <f t="shared" si="27"/>
        <v>282189.03623741533</v>
      </c>
      <c r="U74" s="395">
        <f t="shared" si="22"/>
        <v>282189.03623741533</v>
      </c>
    </row>
    <row r="75" spans="1:21" x14ac:dyDescent="0.25">
      <c r="A75" s="202">
        <f>Données!A75</f>
        <v>5518</v>
      </c>
      <c r="B75" s="203" t="str">
        <f>Données!B75</f>
        <v>Echallens</v>
      </c>
      <c r="C75" s="387">
        <f>Données!C75</f>
        <v>6722</v>
      </c>
      <c r="D75" s="379">
        <f t="shared" si="18"/>
        <v>1000</v>
      </c>
      <c r="E75" s="379">
        <f t="shared" si="23"/>
        <v>2000</v>
      </c>
      <c r="F75" s="388">
        <f t="shared" si="17"/>
        <v>3722</v>
      </c>
      <c r="G75" s="378">
        <f t="shared" si="17"/>
        <v>0</v>
      </c>
      <c r="H75" s="379">
        <f t="shared" si="17"/>
        <v>0</v>
      </c>
      <c r="I75" s="388">
        <f t="shared" si="17"/>
        <v>0</v>
      </c>
      <c r="J75" s="389">
        <f t="shared" si="19"/>
        <v>0</v>
      </c>
      <c r="K75" s="378"/>
      <c r="L75" s="379">
        <f t="shared" si="20"/>
        <v>-3350735.6577645894</v>
      </c>
      <c r="M75" s="388">
        <f t="shared" si="24"/>
        <v>3992094.0517565203</v>
      </c>
      <c r="N75" s="390">
        <f t="shared" si="21"/>
        <v>641358.39399193088</v>
      </c>
      <c r="O75" s="381"/>
      <c r="P75" s="391">
        <f>Données!AC75</f>
        <v>0</v>
      </c>
      <c r="Q75" s="392">
        <f>Données!AD75</f>
        <v>0</v>
      </c>
      <c r="R75" s="393">
        <f t="shared" si="25"/>
        <v>0</v>
      </c>
      <c r="S75" s="394">
        <f t="shared" si="26"/>
        <v>0</v>
      </c>
      <c r="T75" s="393">
        <f t="shared" si="27"/>
        <v>679883.40558706305</v>
      </c>
      <c r="U75" s="395">
        <f t="shared" si="22"/>
        <v>679883.40558706305</v>
      </c>
    </row>
    <row r="76" spans="1:21" x14ac:dyDescent="0.25">
      <c r="A76" s="202">
        <f>Données!A76</f>
        <v>5520</v>
      </c>
      <c r="B76" s="203" t="str">
        <f>Données!B76</f>
        <v>Essertines-sur-Yverdon</v>
      </c>
      <c r="C76" s="387">
        <f>Données!C76</f>
        <v>1148</v>
      </c>
      <c r="D76" s="379">
        <f t="shared" si="18"/>
        <v>1000</v>
      </c>
      <c r="E76" s="379">
        <f t="shared" si="23"/>
        <v>148</v>
      </c>
      <c r="F76" s="388">
        <f t="shared" si="17"/>
        <v>0</v>
      </c>
      <c r="G76" s="378">
        <f t="shared" si="17"/>
        <v>0</v>
      </c>
      <c r="H76" s="379">
        <f t="shared" si="17"/>
        <v>0</v>
      </c>
      <c r="I76" s="388">
        <f t="shared" si="17"/>
        <v>0</v>
      </c>
      <c r="J76" s="389">
        <f t="shared" si="19"/>
        <v>0</v>
      </c>
      <c r="K76" s="378"/>
      <c r="L76" s="379">
        <f t="shared" si="20"/>
        <v>-187992.08704253216</v>
      </c>
      <c r="M76" s="388">
        <f t="shared" si="24"/>
        <v>681779.82318007806</v>
      </c>
      <c r="N76" s="390">
        <f t="shared" si="21"/>
        <v>493787.7361375459</v>
      </c>
      <c r="O76" s="381"/>
      <c r="P76" s="391">
        <f>Données!AC76</f>
        <v>0</v>
      </c>
      <c r="Q76" s="392">
        <f>Données!AD76</f>
        <v>0</v>
      </c>
      <c r="R76" s="393">
        <f t="shared" si="25"/>
        <v>0</v>
      </c>
      <c r="S76" s="394">
        <f t="shared" si="26"/>
        <v>0</v>
      </c>
      <c r="T76" s="393">
        <f t="shared" si="27"/>
        <v>116112.19125467843</v>
      </c>
      <c r="U76" s="395">
        <f t="shared" si="22"/>
        <v>116112.19125467843</v>
      </c>
    </row>
    <row r="77" spans="1:21" x14ac:dyDescent="0.25">
      <c r="A77" s="202">
        <f>Données!A77</f>
        <v>5521</v>
      </c>
      <c r="B77" s="203" t="str">
        <f>Données!B77</f>
        <v>Etagnières</v>
      </c>
      <c r="C77" s="387">
        <f>Données!C77</f>
        <v>1189</v>
      </c>
      <c r="D77" s="379">
        <f t="shared" si="18"/>
        <v>1000</v>
      </c>
      <c r="E77" s="379">
        <f t="shared" si="23"/>
        <v>189</v>
      </c>
      <c r="F77" s="388">
        <f t="shared" si="17"/>
        <v>0</v>
      </c>
      <c r="G77" s="378">
        <f t="shared" si="17"/>
        <v>0</v>
      </c>
      <c r="H77" s="379">
        <f t="shared" si="17"/>
        <v>0</v>
      </c>
      <c r="I77" s="388">
        <f t="shared" si="17"/>
        <v>0</v>
      </c>
      <c r="J77" s="389">
        <f t="shared" si="19"/>
        <v>0</v>
      </c>
      <c r="K77" s="378"/>
      <c r="L77" s="379">
        <f t="shared" si="20"/>
        <v>-203250.49455984175</v>
      </c>
      <c r="M77" s="388">
        <f t="shared" si="24"/>
        <v>706129.10257936665</v>
      </c>
      <c r="N77" s="390">
        <f t="shared" si="21"/>
        <v>502878.60801952489</v>
      </c>
      <c r="O77" s="381"/>
      <c r="P77" s="391">
        <f>Données!AC77</f>
        <v>0</v>
      </c>
      <c r="Q77" s="392">
        <f>Données!AD77</f>
        <v>0</v>
      </c>
      <c r="R77" s="393">
        <f t="shared" si="25"/>
        <v>0</v>
      </c>
      <c r="S77" s="394">
        <f t="shared" si="26"/>
        <v>0</v>
      </c>
      <c r="T77" s="393">
        <f t="shared" si="27"/>
        <v>120259.05522805981</v>
      </c>
      <c r="U77" s="395">
        <f t="shared" si="22"/>
        <v>120259.05522805981</v>
      </c>
    </row>
    <row r="78" spans="1:21" x14ac:dyDescent="0.25">
      <c r="A78" s="202">
        <f>Données!A78</f>
        <v>5522</v>
      </c>
      <c r="B78" s="203" t="str">
        <f>Données!B78</f>
        <v>Fey</v>
      </c>
      <c r="C78" s="387">
        <f>Données!C78</f>
        <v>789</v>
      </c>
      <c r="D78" s="379">
        <f t="shared" si="18"/>
        <v>789</v>
      </c>
      <c r="E78" s="379">
        <f t="shared" si="23"/>
        <v>0</v>
      </c>
      <c r="F78" s="388">
        <f t="shared" si="17"/>
        <v>0</v>
      </c>
      <c r="G78" s="378">
        <f t="shared" si="17"/>
        <v>0</v>
      </c>
      <c r="H78" s="379">
        <f t="shared" si="17"/>
        <v>0</v>
      </c>
      <c r="I78" s="388">
        <f t="shared" si="17"/>
        <v>0</v>
      </c>
      <c r="J78" s="389">
        <f t="shared" si="19"/>
        <v>0</v>
      </c>
      <c r="K78" s="378"/>
      <c r="L78" s="379">
        <f t="shared" si="20"/>
        <v>-104868.32344213649</v>
      </c>
      <c r="M78" s="388">
        <f t="shared" si="24"/>
        <v>468575.15722045436</v>
      </c>
      <c r="N78" s="390">
        <f t="shared" si="21"/>
        <v>363706.8337783179</v>
      </c>
      <c r="O78" s="381"/>
      <c r="P78" s="391">
        <f>Données!AC78</f>
        <v>0</v>
      </c>
      <c r="Q78" s="392">
        <f>Données!AD78</f>
        <v>0</v>
      </c>
      <c r="R78" s="393">
        <f t="shared" si="25"/>
        <v>0</v>
      </c>
      <c r="S78" s="394">
        <f t="shared" si="26"/>
        <v>0</v>
      </c>
      <c r="T78" s="393">
        <f t="shared" si="27"/>
        <v>79801.845731656169</v>
      </c>
      <c r="U78" s="395">
        <f t="shared" si="22"/>
        <v>79801.845731656169</v>
      </c>
    </row>
    <row r="79" spans="1:21" x14ac:dyDescent="0.25">
      <c r="A79" s="202">
        <f>Données!A79</f>
        <v>5523</v>
      </c>
      <c r="B79" s="203" t="str">
        <f>Données!B79</f>
        <v>Froideville</v>
      </c>
      <c r="C79" s="387">
        <f>Données!C79</f>
        <v>2731</v>
      </c>
      <c r="D79" s="379">
        <f t="shared" si="18"/>
        <v>1000</v>
      </c>
      <c r="E79" s="379">
        <f t="shared" si="23"/>
        <v>1731</v>
      </c>
      <c r="F79" s="388">
        <f t="shared" ref="F79:I88" si="28">IF($C79&lt;F$4,0,IF($C79&gt;F$5,F$5-F$4,$C79-F$4))</f>
        <v>0</v>
      </c>
      <c r="G79" s="378">
        <f t="shared" si="28"/>
        <v>0</v>
      </c>
      <c r="H79" s="379">
        <f t="shared" si="28"/>
        <v>0</v>
      </c>
      <c r="I79" s="388">
        <f t="shared" si="28"/>
        <v>0</v>
      </c>
      <c r="J79" s="389">
        <f t="shared" si="19"/>
        <v>0</v>
      </c>
      <c r="K79" s="378"/>
      <c r="L79" s="379">
        <f t="shared" si="20"/>
        <v>-777115.47972304653</v>
      </c>
      <c r="M79" s="388">
        <f t="shared" si="24"/>
        <v>1621899.5619379734</v>
      </c>
      <c r="N79" s="390">
        <f t="shared" si="21"/>
        <v>844784.08221492684</v>
      </c>
      <c r="O79" s="381"/>
      <c r="P79" s="391">
        <f>Données!AC79</f>
        <v>0</v>
      </c>
      <c r="Q79" s="392">
        <f>Données!AD79</f>
        <v>0</v>
      </c>
      <c r="R79" s="393">
        <f t="shared" si="25"/>
        <v>0</v>
      </c>
      <c r="S79" s="394">
        <f t="shared" si="26"/>
        <v>0</v>
      </c>
      <c r="T79" s="393">
        <f t="shared" si="27"/>
        <v>276221.59783669584</v>
      </c>
      <c r="U79" s="395">
        <f t="shared" si="22"/>
        <v>276221.59783669584</v>
      </c>
    </row>
    <row r="80" spans="1:21" x14ac:dyDescent="0.25">
      <c r="A80" s="202">
        <f>Données!A80</f>
        <v>5527</v>
      </c>
      <c r="B80" s="203" t="str">
        <f>Données!B80</f>
        <v>Morrens</v>
      </c>
      <c r="C80" s="387">
        <f>Données!C80</f>
        <v>1153</v>
      </c>
      <c r="D80" s="379">
        <f t="shared" si="18"/>
        <v>1000</v>
      </c>
      <c r="E80" s="379">
        <f t="shared" si="23"/>
        <v>153</v>
      </c>
      <c r="F80" s="388">
        <f t="shared" si="28"/>
        <v>0</v>
      </c>
      <c r="G80" s="378">
        <f t="shared" si="28"/>
        <v>0</v>
      </c>
      <c r="H80" s="379">
        <f t="shared" si="28"/>
        <v>0</v>
      </c>
      <c r="I80" s="388">
        <f t="shared" si="28"/>
        <v>0</v>
      </c>
      <c r="J80" s="389">
        <f t="shared" si="19"/>
        <v>0</v>
      </c>
      <c r="K80" s="378"/>
      <c r="L80" s="379">
        <f t="shared" si="20"/>
        <v>-189852.86844708212</v>
      </c>
      <c r="M80" s="388">
        <f t="shared" si="24"/>
        <v>684749.24749706453</v>
      </c>
      <c r="N80" s="390">
        <f t="shared" si="21"/>
        <v>494896.37904998241</v>
      </c>
      <c r="O80" s="381"/>
      <c r="P80" s="391">
        <f>Données!AC80</f>
        <v>0</v>
      </c>
      <c r="Q80" s="392">
        <f>Données!AD80</f>
        <v>0</v>
      </c>
      <c r="R80" s="393">
        <f t="shared" si="25"/>
        <v>0</v>
      </c>
      <c r="S80" s="394">
        <f t="shared" si="26"/>
        <v>0</v>
      </c>
      <c r="T80" s="393">
        <f t="shared" si="27"/>
        <v>116617.90637338348</v>
      </c>
      <c r="U80" s="395">
        <f t="shared" si="22"/>
        <v>116617.90637338348</v>
      </c>
    </row>
    <row r="81" spans="1:21" x14ac:dyDescent="0.25">
      <c r="A81" s="202">
        <f>Données!A81</f>
        <v>5529</v>
      </c>
      <c r="B81" s="203" t="str">
        <f>Données!B81</f>
        <v>Oulens-sous-Echallens</v>
      </c>
      <c r="C81" s="387">
        <f>Données!C81</f>
        <v>607</v>
      </c>
      <c r="D81" s="379">
        <f t="shared" si="18"/>
        <v>607</v>
      </c>
      <c r="E81" s="379">
        <f t="shared" si="23"/>
        <v>0</v>
      </c>
      <c r="F81" s="388">
        <f t="shared" si="28"/>
        <v>0</v>
      </c>
      <c r="G81" s="378">
        <f t="shared" si="28"/>
        <v>0</v>
      </c>
      <c r="H81" s="379">
        <f t="shared" si="28"/>
        <v>0</v>
      </c>
      <c r="I81" s="388">
        <f t="shared" si="28"/>
        <v>0</v>
      </c>
      <c r="J81" s="389">
        <f t="shared" si="19"/>
        <v>0</v>
      </c>
      <c r="K81" s="378"/>
      <c r="L81" s="379">
        <f t="shared" si="20"/>
        <v>-80678.165182987141</v>
      </c>
      <c r="M81" s="388">
        <f t="shared" si="24"/>
        <v>360488.11208214931</v>
      </c>
      <c r="N81" s="390">
        <f t="shared" si="21"/>
        <v>279809.94689916214</v>
      </c>
      <c r="O81" s="381"/>
      <c r="P81" s="391">
        <f>Données!AC81</f>
        <v>0</v>
      </c>
      <c r="Q81" s="392">
        <f>Données!AD81</f>
        <v>0</v>
      </c>
      <c r="R81" s="393">
        <f t="shared" si="25"/>
        <v>0</v>
      </c>
      <c r="S81" s="394">
        <f t="shared" si="26"/>
        <v>0</v>
      </c>
      <c r="T81" s="393">
        <f t="shared" si="27"/>
        <v>61393.815410792515</v>
      </c>
      <c r="U81" s="395">
        <f t="shared" si="22"/>
        <v>61393.815410792515</v>
      </c>
    </row>
    <row r="82" spans="1:21" x14ac:dyDescent="0.25">
      <c r="A82" s="202">
        <f>Données!A82</f>
        <v>5530</v>
      </c>
      <c r="B82" s="203" t="str">
        <f>Données!B82</f>
        <v>Pailly</v>
      </c>
      <c r="C82" s="387">
        <f>Données!C82</f>
        <v>576</v>
      </c>
      <c r="D82" s="379">
        <f t="shared" si="18"/>
        <v>576</v>
      </c>
      <c r="E82" s="379">
        <f t="shared" si="23"/>
        <v>0</v>
      </c>
      <c r="F82" s="388">
        <f t="shared" si="28"/>
        <v>0</v>
      </c>
      <c r="G82" s="378">
        <f t="shared" si="28"/>
        <v>0</v>
      </c>
      <c r="H82" s="379">
        <f t="shared" si="28"/>
        <v>0</v>
      </c>
      <c r="I82" s="388">
        <f t="shared" si="28"/>
        <v>0</v>
      </c>
      <c r="J82" s="389">
        <f t="shared" si="19"/>
        <v>0</v>
      </c>
      <c r="K82" s="378"/>
      <c r="L82" s="379">
        <f t="shared" si="20"/>
        <v>-76557.863501483676</v>
      </c>
      <c r="M82" s="388">
        <f t="shared" si="24"/>
        <v>342077.68131683359</v>
      </c>
      <c r="N82" s="390">
        <f t="shared" si="21"/>
        <v>265519.8178153499</v>
      </c>
      <c r="O82" s="381"/>
      <c r="P82" s="391">
        <f>Données!AC82</f>
        <v>0</v>
      </c>
      <c r="Q82" s="392">
        <f>Données!AD82</f>
        <v>0</v>
      </c>
      <c r="R82" s="393">
        <f t="shared" si="25"/>
        <v>0</v>
      </c>
      <c r="S82" s="394">
        <f t="shared" si="26"/>
        <v>0</v>
      </c>
      <c r="T82" s="393">
        <f t="shared" si="27"/>
        <v>58258.381674821234</v>
      </c>
      <c r="U82" s="395">
        <f t="shared" si="22"/>
        <v>58258.381674821234</v>
      </c>
    </row>
    <row r="83" spans="1:21" x14ac:dyDescent="0.25">
      <c r="A83" s="202">
        <f>Données!A83</f>
        <v>5531</v>
      </c>
      <c r="B83" s="203" t="str">
        <f>Données!B83</f>
        <v>Penthéréaz</v>
      </c>
      <c r="C83" s="387">
        <f>Données!C83</f>
        <v>430</v>
      </c>
      <c r="D83" s="379">
        <f t="shared" si="18"/>
        <v>430</v>
      </c>
      <c r="E83" s="379">
        <f t="shared" si="23"/>
        <v>0</v>
      </c>
      <c r="F83" s="388">
        <f t="shared" si="28"/>
        <v>0</v>
      </c>
      <c r="G83" s="378">
        <f t="shared" si="28"/>
        <v>0</v>
      </c>
      <c r="H83" s="379">
        <f t="shared" si="28"/>
        <v>0</v>
      </c>
      <c r="I83" s="388">
        <f t="shared" si="28"/>
        <v>0</v>
      </c>
      <c r="J83" s="389">
        <f t="shared" si="19"/>
        <v>0</v>
      </c>
      <c r="K83" s="378"/>
      <c r="L83" s="379">
        <f t="shared" si="20"/>
        <v>-57152.57171117705</v>
      </c>
      <c r="M83" s="388">
        <f t="shared" si="24"/>
        <v>255370.49126083066</v>
      </c>
      <c r="N83" s="390">
        <f t="shared" si="21"/>
        <v>198217.9195496536</v>
      </c>
      <c r="O83" s="381"/>
      <c r="P83" s="391">
        <f>Données!AC83</f>
        <v>0</v>
      </c>
      <c r="Q83" s="392">
        <f>Données!AD83</f>
        <v>0</v>
      </c>
      <c r="R83" s="393">
        <f t="shared" si="25"/>
        <v>0</v>
      </c>
      <c r="S83" s="394">
        <f t="shared" si="26"/>
        <v>0</v>
      </c>
      <c r="T83" s="393">
        <f t="shared" si="27"/>
        <v>43491.500208633908</v>
      </c>
      <c r="U83" s="395">
        <f t="shared" si="22"/>
        <v>43491.500208633908</v>
      </c>
    </row>
    <row r="84" spans="1:21" x14ac:dyDescent="0.25">
      <c r="A84" s="202">
        <f>Données!A84</f>
        <v>5533</v>
      </c>
      <c r="B84" s="203" t="str">
        <f>Données!B84</f>
        <v>Poliez-Pittet</v>
      </c>
      <c r="C84" s="387">
        <f>Données!C84</f>
        <v>850</v>
      </c>
      <c r="D84" s="379">
        <f t="shared" si="18"/>
        <v>850</v>
      </c>
      <c r="E84" s="379">
        <f t="shared" si="23"/>
        <v>0</v>
      </c>
      <c r="F84" s="388">
        <f t="shared" si="28"/>
        <v>0</v>
      </c>
      <c r="G84" s="378">
        <f t="shared" si="28"/>
        <v>0</v>
      </c>
      <c r="H84" s="379">
        <f t="shared" si="28"/>
        <v>0</v>
      </c>
      <c r="I84" s="388">
        <f t="shared" si="28"/>
        <v>0</v>
      </c>
      <c r="J84" s="389">
        <f t="shared" si="19"/>
        <v>0</v>
      </c>
      <c r="K84" s="378"/>
      <c r="L84" s="379">
        <f t="shared" si="20"/>
        <v>-112976.01384767557</v>
      </c>
      <c r="M84" s="388">
        <f t="shared" si="24"/>
        <v>504802.13388768851</v>
      </c>
      <c r="N84" s="390">
        <f t="shared" si="21"/>
        <v>391826.12004001293</v>
      </c>
      <c r="O84" s="381"/>
      <c r="P84" s="391">
        <f>Données!AC84</f>
        <v>0</v>
      </c>
      <c r="Q84" s="392">
        <f>Données!AD84</f>
        <v>0</v>
      </c>
      <c r="R84" s="393">
        <f t="shared" si="25"/>
        <v>0</v>
      </c>
      <c r="S84" s="394">
        <f t="shared" si="26"/>
        <v>0</v>
      </c>
      <c r="T84" s="393">
        <f t="shared" si="27"/>
        <v>85971.570179857721</v>
      </c>
      <c r="U84" s="395">
        <f t="shared" si="22"/>
        <v>85971.570179857721</v>
      </c>
    </row>
    <row r="85" spans="1:21" x14ac:dyDescent="0.25">
      <c r="A85" s="202">
        <f>Données!A85</f>
        <v>5534</v>
      </c>
      <c r="B85" s="203" t="str">
        <f>Données!B85</f>
        <v>Rueyres</v>
      </c>
      <c r="C85" s="387">
        <f>Données!C85</f>
        <v>304</v>
      </c>
      <c r="D85" s="379">
        <f t="shared" si="18"/>
        <v>304</v>
      </c>
      <c r="E85" s="379">
        <f t="shared" si="23"/>
        <v>0</v>
      </c>
      <c r="F85" s="388">
        <f t="shared" si="28"/>
        <v>0</v>
      </c>
      <c r="G85" s="378">
        <f t="shared" si="28"/>
        <v>0</v>
      </c>
      <c r="H85" s="379">
        <f t="shared" si="28"/>
        <v>0</v>
      </c>
      <c r="I85" s="388">
        <f t="shared" si="28"/>
        <v>0</v>
      </c>
      <c r="J85" s="389">
        <f t="shared" si="19"/>
        <v>0</v>
      </c>
      <c r="K85" s="378"/>
      <c r="L85" s="379">
        <f t="shared" si="20"/>
        <v>-40405.539070227496</v>
      </c>
      <c r="M85" s="388">
        <f t="shared" si="24"/>
        <v>180540.9984727733</v>
      </c>
      <c r="N85" s="390">
        <f t="shared" si="21"/>
        <v>140135.45940254579</v>
      </c>
      <c r="O85" s="381"/>
      <c r="P85" s="391">
        <f>Données!AC85</f>
        <v>0</v>
      </c>
      <c r="Q85" s="392">
        <f>Données!AD85</f>
        <v>0</v>
      </c>
      <c r="R85" s="393">
        <f t="shared" si="25"/>
        <v>0</v>
      </c>
      <c r="S85" s="394">
        <f t="shared" si="26"/>
        <v>0</v>
      </c>
      <c r="T85" s="393">
        <f t="shared" si="27"/>
        <v>30747.479217266762</v>
      </c>
      <c r="U85" s="395">
        <f t="shared" si="22"/>
        <v>30747.479217266762</v>
      </c>
    </row>
    <row r="86" spans="1:21" x14ac:dyDescent="0.25">
      <c r="A86" s="202">
        <f>Données!A86</f>
        <v>5535</v>
      </c>
      <c r="B86" s="203" t="str">
        <f>Données!B86</f>
        <v>Saint-Barthélemy</v>
      </c>
      <c r="C86" s="387">
        <f>Données!C86</f>
        <v>837</v>
      </c>
      <c r="D86" s="379">
        <f t="shared" si="18"/>
        <v>837</v>
      </c>
      <c r="E86" s="379">
        <f t="shared" si="23"/>
        <v>0</v>
      </c>
      <c r="F86" s="388">
        <f t="shared" si="28"/>
        <v>0</v>
      </c>
      <c r="G86" s="378">
        <f t="shared" si="28"/>
        <v>0</v>
      </c>
      <c r="H86" s="379">
        <f t="shared" si="28"/>
        <v>0</v>
      </c>
      <c r="I86" s="388">
        <f t="shared" si="28"/>
        <v>0</v>
      </c>
      <c r="J86" s="389">
        <f t="shared" si="19"/>
        <v>0</v>
      </c>
      <c r="K86" s="378"/>
      <c r="L86" s="379">
        <f t="shared" si="20"/>
        <v>-111248.14540059346</v>
      </c>
      <c r="M86" s="388">
        <f t="shared" si="24"/>
        <v>497081.63066352386</v>
      </c>
      <c r="N86" s="390">
        <f t="shared" si="21"/>
        <v>385833.48526293039</v>
      </c>
      <c r="O86" s="381"/>
      <c r="P86" s="391">
        <f>Données!AC86</f>
        <v>0</v>
      </c>
      <c r="Q86" s="392">
        <f>Données!AD86</f>
        <v>0</v>
      </c>
      <c r="R86" s="393">
        <f t="shared" si="25"/>
        <v>0</v>
      </c>
      <c r="S86" s="394">
        <f t="shared" si="26"/>
        <v>0</v>
      </c>
      <c r="T86" s="393">
        <f t="shared" si="27"/>
        <v>84656.710871224612</v>
      </c>
      <c r="U86" s="395">
        <f t="shared" si="22"/>
        <v>84656.710871224612</v>
      </c>
    </row>
    <row r="87" spans="1:21" x14ac:dyDescent="0.25">
      <c r="A87" s="202">
        <f>Données!A87</f>
        <v>5537</v>
      </c>
      <c r="B87" s="203" t="str">
        <f>Données!B87</f>
        <v>Villars-le-Terroir</v>
      </c>
      <c r="C87" s="387">
        <f>Données!C87</f>
        <v>1307</v>
      </c>
      <c r="D87" s="379">
        <f t="shared" si="18"/>
        <v>1000</v>
      </c>
      <c r="E87" s="379">
        <f t="shared" si="23"/>
        <v>307</v>
      </c>
      <c r="F87" s="388">
        <f t="shared" si="28"/>
        <v>0</v>
      </c>
      <c r="G87" s="378">
        <f t="shared" si="28"/>
        <v>0</v>
      </c>
      <c r="H87" s="379">
        <f t="shared" si="28"/>
        <v>0</v>
      </c>
      <c r="I87" s="388">
        <f t="shared" si="28"/>
        <v>0</v>
      </c>
      <c r="J87" s="389">
        <f t="shared" si="19"/>
        <v>0</v>
      </c>
      <c r="K87" s="378"/>
      <c r="L87" s="379">
        <f t="shared" si="20"/>
        <v>-247164.93570722057</v>
      </c>
      <c r="M87" s="388">
        <f t="shared" si="24"/>
        <v>776207.51646024571</v>
      </c>
      <c r="N87" s="390">
        <f t="shared" si="21"/>
        <v>529042.58075302513</v>
      </c>
      <c r="O87" s="381"/>
      <c r="P87" s="391">
        <f>Données!AC87</f>
        <v>0</v>
      </c>
      <c r="Q87" s="392">
        <f>Données!AD87</f>
        <v>0</v>
      </c>
      <c r="R87" s="393">
        <f t="shared" si="25"/>
        <v>0</v>
      </c>
      <c r="S87" s="394">
        <f t="shared" si="26"/>
        <v>0</v>
      </c>
      <c r="T87" s="393">
        <f t="shared" si="27"/>
        <v>132193.93202949889</v>
      </c>
      <c r="U87" s="395">
        <f t="shared" si="22"/>
        <v>132193.93202949889</v>
      </c>
    </row>
    <row r="88" spans="1:21" x14ac:dyDescent="0.25">
      <c r="A88" s="202">
        <f>Données!A88</f>
        <v>5539</v>
      </c>
      <c r="B88" s="203" t="str">
        <f>Données!B88</f>
        <v>Vuarrens</v>
      </c>
      <c r="C88" s="387">
        <f>Données!C88</f>
        <v>1120</v>
      </c>
      <c r="D88" s="379">
        <f t="shared" si="18"/>
        <v>1000</v>
      </c>
      <c r="E88" s="379">
        <f t="shared" si="23"/>
        <v>120</v>
      </c>
      <c r="F88" s="388">
        <f t="shared" si="28"/>
        <v>0</v>
      </c>
      <c r="G88" s="378">
        <f t="shared" si="28"/>
        <v>0</v>
      </c>
      <c r="H88" s="379">
        <f t="shared" si="28"/>
        <v>0</v>
      </c>
      <c r="I88" s="388">
        <f t="shared" si="28"/>
        <v>0</v>
      </c>
      <c r="J88" s="389">
        <f t="shared" si="19"/>
        <v>0</v>
      </c>
      <c r="K88" s="378"/>
      <c r="L88" s="379">
        <f t="shared" si="20"/>
        <v>-177571.71117705244</v>
      </c>
      <c r="M88" s="388">
        <f t="shared" si="24"/>
        <v>665151.04700495431</v>
      </c>
      <c r="N88" s="390">
        <f t="shared" si="21"/>
        <v>487579.33582790184</v>
      </c>
      <c r="O88" s="381"/>
      <c r="P88" s="391">
        <f>Données!AC88</f>
        <v>0</v>
      </c>
      <c r="Q88" s="392">
        <f>Données!AD88</f>
        <v>0</v>
      </c>
      <c r="R88" s="393">
        <f t="shared" si="25"/>
        <v>0</v>
      </c>
      <c r="S88" s="394">
        <f t="shared" si="26"/>
        <v>0</v>
      </c>
      <c r="T88" s="393">
        <f t="shared" si="27"/>
        <v>113280.18658993018</v>
      </c>
      <c r="U88" s="395">
        <f t="shared" si="22"/>
        <v>113280.18658993018</v>
      </c>
    </row>
    <row r="89" spans="1:21" x14ac:dyDescent="0.25">
      <c r="A89" s="202">
        <f>Données!A89</f>
        <v>5540</v>
      </c>
      <c r="B89" s="203" t="str">
        <f>Données!B89</f>
        <v>Montilliez</v>
      </c>
      <c r="C89" s="387">
        <f>Données!C89</f>
        <v>1874</v>
      </c>
      <c r="D89" s="379">
        <f t="shared" si="18"/>
        <v>1000</v>
      </c>
      <c r="E89" s="379">
        <f t="shared" si="23"/>
        <v>874</v>
      </c>
      <c r="F89" s="388">
        <f t="shared" ref="F89:I98" si="29">IF($C89&lt;F$4,0,IF($C89&gt;F$5,F$5-F$4,$C89-F$4))</f>
        <v>0</v>
      </c>
      <c r="G89" s="378">
        <f t="shared" si="29"/>
        <v>0</v>
      </c>
      <c r="H89" s="379">
        <f t="shared" si="29"/>
        <v>0</v>
      </c>
      <c r="I89" s="388">
        <f t="shared" si="29"/>
        <v>0</v>
      </c>
      <c r="J89" s="389">
        <f t="shared" si="19"/>
        <v>0</v>
      </c>
      <c r="K89" s="378"/>
      <c r="L89" s="379">
        <f t="shared" si="20"/>
        <v>-458177.54698318499</v>
      </c>
      <c r="M89" s="388">
        <f t="shared" si="24"/>
        <v>1112940.2340065038</v>
      </c>
      <c r="N89" s="390">
        <f t="shared" si="21"/>
        <v>654762.68702331884</v>
      </c>
      <c r="O89" s="381"/>
      <c r="P89" s="391">
        <f>Données!AC89</f>
        <v>0</v>
      </c>
      <c r="Q89" s="392">
        <f>Données!AD89</f>
        <v>0</v>
      </c>
      <c r="R89" s="393">
        <f t="shared" si="25"/>
        <v>0</v>
      </c>
      <c r="S89" s="394">
        <f t="shared" si="26"/>
        <v>0</v>
      </c>
      <c r="T89" s="393">
        <f t="shared" si="27"/>
        <v>189542.02649065104</v>
      </c>
      <c r="U89" s="395">
        <f t="shared" si="22"/>
        <v>189542.02649065104</v>
      </c>
    </row>
    <row r="90" spans="1:21" x14ac:dyDescent="0.25">
      <c r="A90" s="202">
        <f>Données!A90</f>
        <v>5541</v>
      </c>
      <c r="B90" s="203" t="str">
        <f>Données!B90</f>
        <v>Goumoëns</v>
      </c>
      <c r="C90" s="387">
        <f>Données!C90</f>
        <v>1211</v>
      </c>
      <c r="D90" s="379">
        <f t="shared" si="18"/>
        <v>1000</v>
      </c>
      <c r="E90" s="379">
        <f t="shared" si="23"/>
        <v>211</v>
      </c>
      <c r="F90" s="388">
        <f t="shared" si="29"/>
        <v>0</v>
      </c>
      <c r="G90" s="378">
        <f t="shared" si="29"/>
        <v>0</v>
      </c>
      <c r="H90" s="379">
        <f t="shared" si="29"/>
        <v>0</v>
      </c>
      <c r="I90" s="388">
        <f t="shared" si="29"/>
        <v>0</v>
      </c>
      <c r="J90" s="389">
        <f t="shared" si="19"/>
        <v>0</v>
      </c>
      <c r="K90" s="378"/>
      <c r="L90" s="379">
        <f t="shared" si="20"/>
        <v>-211437.93273986154</v>
      </c>
      <c r="M90" s="388">
        <f t="shared" si="24"/>
        <v>719194.56957410683</v>
      </c>
      <c r="N90" s="390">
        <f t="shared" si="21"/>
        <v>507756.63683424529</v>
      </c>
      <c r="O90" s="381"/>
      <c r="P90" s="391">
        <f>Données!AC90</f>
        <v>0</v>
      </c>
      <c r="Q90" s="392">
        <f>Données!AD90</f>
        <v>0</v>
      </c>
      <c r="R90" s="393">
        <f t="shared" si="25"/>
        <v>0</v>
      </c>
      <c r="S90" s="394">
        <f t="shared" si="26"/>
        <v>0</v>
      </c>
      <c r="T90" s="393">
        <f t="shared" si="27"/>
        <v>122484.201750362</v>
      </c>
      <c r="U90" s="395">
        <f t="shared" si="22"/>
        <v>122484.201750362</v>
      </c>
    </row>
    <row r="91" spans="1:21" x14ac:dyDescent="0.25">
      <c r="A91" s="202">
        <f>Données!A91</f>
        <v>5551</v>
      </c>
      <c r="B91" s="203" t="str">
        <f>Données!B91</f>
        <v>Bonvillars</v>
      </c>
      <c r="C91" s="387">
        <f>Données!C91</f>
        <v>518</v>
      </c>
      <c r="D91" s="379">
        <f t="shared" si="18"/>
        <v>518</v>
      </c>
      <c r="E91" s="379">
        <f t="shared" si="23"/>
        <v>0</v>
      </c>
      <c r="F91" s="388">
        <f t="shared" si="29"/>
        <v>0</v>
      </c>
      <c r="G91" s="378">
        <f t="shared" si="29"/>
        <v>0</v>
      </c>
      <c r="H91" s="379">
        <f t="shared" si="29"/>
        <v>0</v>
      </c>
      <c r="I91" s="388">
        <f t="shared" si="29"/>
        <v>0</v>
      </c>
      <c r="J91" s="389">
        <f t="shared" si="19"/>
        <v>0</v>
      </c>
      <c r="K91" s="378"/>
      <c r="L91" s="379">
        <f t="shared" si="20"/>
        <v>-68848.911968348169</v>
      </c>
      <c r="M91" s="388">
        <f t="shared" si="24"/>
        <v>307632.35923979135</v>
      </c>
      <c r="N91" s="390">
        <f t="shared" si="21"/>
        <v>238783.44727144318</v>
      </c>
      <c r="O91" s="381"/>
      <c r="P91" s="391">
        <f>Données!AC91</f>
        <v>0</v>
      </c>
      <c r="Q91" s="392">
        <f>Données!AD91</f>
        <v>0</v>
      </c>
      <c r="R91" s="393">
        <f t="shared" si="25"/>
        <v>0</v>
      </c>
      <c r="S91" s="394">
        <f t="shared" si="26"/>
        <v>0</v>
      </c>
      <c r="T91" s="393">
        <f t="shared" si="27"/>
        <v>52392.08629784271</v>
      </c>
      <c r="U91" s="395">
        <f t="shared" si="22"/>
        <v>52392.08629784271</v>
      </c>
    </row>
    <row r="92" spans="1:21" x14ac:dyDescent="0.25">
      <c r="A92" s="202">
        <f>Données!A92</f>
        <v>5552</v>
      </c>
      <c r="B92" s="203" t="str">
        <f>Données!B92</f>
        <v>Bullet</v>
      </c>
      <c r="C92" s="387">
        <f>Données!C92</f>
        <v>682</v>
      </c>
      <c r="D92" s="379">
        <f t="shared" si="18"/>
        <v>682</v>
      </c>
      <c r="E92" s="379">
        <f t="shared" si="23"/>
        <v>0</v>
      </c>
      <c r="F92" s="388">
        <f t="shared" si="29"/>
        <v>0</v>
      </c>
      <c r="G92" s="378">
        <f t="shared" si="29"/>
        <v>0</v>
      </c>
      <c r="H92" s="379">
        <f t="shared" si="29"/>
        <v>0</v>
      </c>
      <c r="I92" s="388">
        <f t="shared" si="29"/>
        <v>0</v>
      </c>
      <c r="J92" s="389">
        <f t="shared" si="19"/>
        <v>0</v>
      </c>
      <c r="K92" s="378"/>
      <c r="L92" s="379">
        <f t="shared" si="20"/>
        <v>-90646.636993076158</v>
      </c>
      <c r="M92" s="388">
        <f t="shared" si="24"/>
        <v>405029.47683694534</v>
      </c>
      <c r="N92" s="390">
        <f t="shared" si="21"/>
        <v>314382.83984386921</v>
      </c>
      <c r="O92" s="381"/>
      <c r="P92" s="391">
        <f>Données!AC92</f>
        <v>0</v>
      </c>
      <c r="Q92" s="392">
        <f>Données!AD92</f>
        <v>0</v>
      </c>
      <c r="R92" s="393">
        <f t="shared" si="25"/>
        <v>0</v>
      </c>
      <c r="S92" s="394">
        <f t="shared" si="26"/>
        <v>0</v>
      </c>
      <c r="T92" s="393">
        <f t="shared" si="27"/>
        <v>68979.542191368193</v>
      </c>
      <c r="U92" s="395">
        <f t="shared" si="22"/>
        <v>68979.542191368193</v>
      </c>
    </row>
    <row r="93" spans="1:21" x14ac:dyDescent="0.25">
      <c r="A93" s="202">
        <f>Données!A93</f>
        <v>5553</v>
      </c>
      <c r="B93" s="203" t="str">
        <f>Données!B93</f>
        <v>Champagne</v>
      </c>
      <c r="C93" s="387">
        <f>Données!C93</f>
        <v>1071</v>
      </c>
      <c r="D93" s="379">
        <f t="shared" si="18"/>
        <v>1000</v>
      </c>
      <c r="E93" s="379">
        <f t="shared" si="23"/>
        <v>71</v>
      </c>
      <c r="F93" s="388">
        <f t="shared" si="29"/>
        <v>0</v>
      </c>
      <c r="G93" s="378">
        <f t="shared" si="29"/>
        <v>0</v>
      </c>
      <c r="H93" s="379">
        <f t="shared" si="29"/>
        <v>0</v>
      </c>
      <c r="I93" s="388">
        <f t="shared" si="29"/>
        <v>0</v>
      </c>
      <c r="J93" s="389">
        <f t="shared" si="19"/>
        <v>0</v>
      </c>
      <c r="K93" s="378"/>
      <c r="L93" s="379">
        <f t="shared" si="20"/>
        <v>-159336.0534124629</v>
      </c>
      <c r="M93" s="388">
        <f t="shared" si="24"/>
        <v>636050.68869848747</v>
      </c>
      <c r="N93" s="390">
        <f t="shared" si="21"/>
        <v>476714.63528602454</v>
      </c>
      <c r="O93" s="381"/>
      <c r="P93" s="391">
        <f>Données!AC93</f>
        <v>0</v>
      </c>
      <c r="Q93" s="392">
        <f>Données!AD93</f>
        <v>0</v>
      </c>
      <c r="R93" s="393">
        <f t="shared" si="25"/>
        <v>0</v>
      </c>
      <c r="S93" s="394">
        <f t="shared" si="26"/>
        <v>0</v>
      </c>
      <c r="T93" s="393">
        <f t="shared" si="27"/>
        <v>108324.17842662074</v>
      </c>
      <c r="U93" s="395">
        <f t="shared" si="22"/>
        <v>108324.17842662074</v>
      </c>
    </row>
    <row r="94" spans="1:21" x14ac:dyDescent="0.25">
      <c r="A94" s="202">
        <f>Données!A94</f>
        <v>5554</v>
      </c>
      <c r="B94" s="203" t="str">
        <f>Données!B94</f>
        <v>Concise</v>
      </c>
      <c r="C94" s="387">
        <f>Données!C94</f>
        <v>1025</v>
      </c>
      <c r="D94" s="379">
        <f t="shared" si="18"/>
        <v>1000</v>
      </c>
      <c r="E94" s="379">
        <f t="shared" si="23"/>
        <v>25</v>
      </c>
      <c r="F94" s="388">
        <f t="shared" si="29"/>
        <v>0</v>
      </c>
      <c r="G94" s="378">
        <f t="shared" si="29"/>
        <v>0</v>
      </c>
      <c r="H94" s="379">
        <f t="shared" si="29"/>
        <v>0</v>
      </c>
      <c r="I94" s="388">
        <f t="shared" si="29"/>
        <v>0</v>
      </c>
      <c r="J94" s="389">
        <f t="shared" si="19"/>
        <v>0</v>
      </c>
      <c r="K94" s="378"/>
      <c r="L94" s="379">
        <f t="shared" si="20"/>
        <v>-142216.86449060336</v>
      </c>
      <c r="M94" s="388">
        <f t="shared" si="24"/>
        <v>608731.98498221254</v>
      </c>
      <c r="N94" s="390">
        <f t="shared" si="21"/>
        <v>466515.12049160921</v>
      </c>
      <c r="O94" s="381"/>
      <c r="P94" s="391">
        <f>Données!AC94</f>
        <v>0</v>
      </c>
      <c r="Q94" s="392">
        <f>Données!AD94</f>
        <v>0</v>
      </c>
      <c r="R94" s="393">
        <f t="shared" si="25"/>
        <v>0</v>
      </c>
      <c r="S94" s="394">
        <f t="shared" si="26"/>
        <v>0</v>
      </c>
      <c r="T94" s="393">
        <f t="shared" si="27"/>
        <v>103671.59933453432</v>
      </c>
      <c r="U94" s="395">
        <f t="shared" si="22"/>
        <v>103671.59933453432</v>
      </c>
    </row>
    <row r="95" spans="1:21" x14ac:dyDescent="0.25">
      <c r="A95" s="202">
        <f>Données!A95</f>
        <v>5555</v>
      </c>
      <c r="B95" s="203" t="str">
        <f>Données!B95</f>
        <v>Corcelles-près-Concise</v>
      </c>
      <c r="C95" s="387">
        <f>Données!C95</f>
        <v>438</v>
      </c>
      <c r="D95" s="379">
        <f t="shared" si="18"/>
        <v>438</v>
      </c>
      <c r="E95" s="379">
        <f t="shared" si="23"/>
        <v>0</v>
      </c>
      <c r="F95" s="388">
        <f t="shared" si="29"/>
        <v>0</v>
      </c>
      <c r="G95" s="378">
        <f t="shared" si="29"/>
        <v>0</v>
      </c>
      <c r="H95" s="379">
        <f t="shared" si="29"/>
        <v>0</v>
      </c>
      <c r="I95" s="388">
        <f t="shared" si="29"/>
        <v>0</v>
      </c>
      <c r="J95" s="389">
        <f t="shared" si="19"/>
        <v>0</v>
      </c>
      <c r="K95" s="378"/>
      <c r="L95" s="379">
        <f t="shared" si="20"/>
        <v>-58215.875370919879</v>
      </c>
      <c r="M95" s="388">
        <f t="shared" si="24"/>
        <v>260121.57016800888</v>
      </c>
      <c r="N95" s="390">
        <f t="shared" si="21"/>
        <v>201905.694797089</v>
      </c>
      <c r="O95" s="381"/>
      <c r="P95" s="391">
        <f>Données!AC95</f>
        <v>0</v>
      </c>
      <c r="Q95" s="392">
        <f>Données!AD95</f>
        <v>0</v>
      </c>
      <c r="R95" s="393">
        <f t="shared" si="25"/>
        <v>0</v>
      </c>
      <c r="S95" s="394">
        <f t="shared" si="26"/>
        <v>0</v>
      </c>
      <c r="T95" s="393">
        <f t="shared" si="27"/>
        <v>44300.644398561977</v>
      </c>
      <c r="U95" s="395">
        <f t="shared" si="22"/>
        <v>44300.644398561977</v>
      </c>
    </row>
    <row r="96" spans="1:21" x14ac:dyDescent="0.25">
      <c r="A96" s="202">
        <f>Données!A96</f>
        <v>5556</v>
      </c>
      <c r="B96" s="203" t="str">
        <f>Données!B96</f>
        <v>Fiez</v>
      </c>
      <c r="C96" s="387">
        <f>Données!C96</f>
        <v>431</v>
      </c>
      <c r="D96" s="379">
        <f t="shared" si="18"/>
        <v>431</v>
      </c>
      <c r="E96" s="379">
        <f t="shared" si="23"/>
        <v>0</v>
      </c>
      <c r="F96" s="388">
        <f t="shared" si="29"/>
        <v>0</v>
      </c>
      <c r="G96" s="378">
        <f t="shared" si="29"/>
        <v>0</v>
      </c>
      <c r="H96" s="379">
        <f t="shared" si="29"/>
        <v>0</v>
      </c>
      <c r="I96" s="388">
        <f t="shared" si="29"/>
        <v>0</v>
      </c>
      <c r="J96" s="389">
        <f t="shared" si="19"/>
        <v>0</v>
      </c>
      <c r="K96" s="378"/>
      <c r="L96" s="379">
        <f t="shared" si="20"/>
        <v>-57285.484668644902</v>
      </c>
      <c r="M96" s="388">
        <f t="shared" si="24"/>
        <v>255964.37612422794</v>
      </c>
      <c r="N96" s="390">
        <f t="shared" si="21"/>
        <v>198678.89145558304</v>
      </c>
      <c r="O96" s="381"/>
      <c r="P96" s="391">
        <f>Données!AC96</f>
        <v>0</v>
      </c>
      <c r="Q96" s="392">
        <f>Données!AD96</f>
        <v>0</v>
      </c>
      <c r="R96" s="393">
        <f t="shared" si="25"/>
        <v>0</v>
      </c>
      <c r="S96" s="394">
        <f t="shared" si="26"/>
        <v>0</v>
      </c>
      <c r="T96" s="393">
        <f t="shared" si="27"/>
        <v>43592.643232374918</v>
      </c>
      <c r="U96" s="395">
        <f t="shared" si="22"/>
        <v>43592.643232374918</v>
      </c>
    </row>
    <row r="97" spans="1:21" x14ac:dyDescent="0.25">
      <c r="A97" s="202">
        <f>Données!A97</f>
        <v>5557</v>
      </c>
      <c r="B97" s="203" t="str">
        <f>Données!B97</f>
        <v>Fontaines-sur-Grandson</v>
      </c>
      <c r="C97" s="387">
        <f>Données!C97</f>
        <v>220</v>
      </c>
      <c r="D97" s="379">
        <f t="shared" si="18"/>
        <v>220</v>
      </c>
      <c r="E97" s="379">
        <f t="shared" si="23"/>
        <v>0</v>
      </c>
      <c r="F97" s="388">
        <f t="shared" si="29"/>
        <v>0</v>
      </c>
      <c r="G97" s="378">
        <f t="shared" si="29"/>
        <v>0</v>
      </c>
      <c r="H97" s="379">
        <f t="shared" si="29"/>
        <v>0</v>
      </c>
      <c r="I97" s="388">
        <f t="shared" si="29"/>
        <v>0</v>
      </c>
      <c r="J97" s="389">
        <f t="shared" si="19"/>
        <v>0</v>
      </c>
      <c r="K97" s="378"/>
      <c r="L97" s="379">
        <f t="shared" si="20"/>
        <v>-29240.850642927791</v>
      </c>
      <c r="M97" s="388">
        <f t="shared" si="24"/>
        <v>130654.66994740172</v>
      </c>
      <c r="N97" s="390">
        <f t="shared" si="21"/>
        <v>101413.81930447393</v>
      </c>
      <c r="O97" s="381"/>
      <c r="P97" s="391">
        <f>Données!AC97</f>
        <v>0</v>
      </c>
      <c r="Q97" s="392">
        <f>Données!AD97</f>
        <v>0</v>
      </c>
      <c r="R97" s="393">
        <f t="shared" si="25"/>
        <v>0</v>
      </c>
      <c r="S97" s="394">
        <f t="shared" si="26"/>
        <v>0</v>
      </c>
      <c r="T97" s="393">
        <f t="shared" si="27"/>
        <v>22251.465223021998</v>
      </c>
      <c r="U97" s="395">
        <f t="shared" si="22"/>
        <v>22251.465223021998</v>
      </c>
    </row>
    <row r="98" spans="1:21" x14ac:dyDescent="0.25">
      <c r="A98" s="202">
        <f>Données!A98</f>
        <v>5559</v>
      </c>
      <c r="B98" s="203" t="str">
        <f>Données!B98</f>
        <v>Giez</v>
      </c>
      <c r="C98" s="387">
        <f>Données!C98</f>
        <v>464</v>
      </c>
      <c r="D98" s="379">
        <f t="shared" si="18"/>
        <v>464</v>
      </c>
      <c r="E98" s="379">
        <f t="shared" si="23"/>
        <v>0</v>
      </c>
      <c r="F98" s="388">
        <f t="shared" si="29"/>
        <v>0</v>
      </c>
      <c r="G98" s="378">
        <f t="shared" si="29"/>
        <v>0</v>
      </c>
      <c r="H98" s="379">
        <f t="shared" si="29"/>
        <v>0</v>
      </c>
      <c r="I98" s="388">
        <f t="shared" si="29"/>
        <v>0</v>
      </c>
      <c r="J98" s="389">
        <f t="shared" si="19"/>
        <v>0</v>
      </c>
      <c r="K98" s="378"/>
      <c r="L98" s="379">
        <f t="shared" si="20"/>
        <v>-61671.61226508407</v>
      </c>
      <c r="M98" s="388">
        <f t="shared" si="24"/>
        <v>275562.57661633816</v>
      </c>
      <c r="N98" s="390">
        <f t="shared" si="21"/>
        <v>213890.96435125411</v>
      </c>
      <c r="O98" s="381"/>
      <c r="P98" s="391">
        <f>Données!AC98</f>
        <v>0</v>
      </c>
      <c r="Q98" s="392">
        <f>Données!AD98</f>
        <v>0</v>
      </c>
      <c r="R98" s="393">
        <f t="shared" si="25"/>
        <v>0</v>
      </c>
      <c r="S98" s="394">
        <f t="shared" si="26"/>
        <v>0</v>
      </c>
      <c r="T98" s="393">
        <f t="shared" si="27"/>
        <v>46930.363015828218</v>
      </c>
      <c r="U98" s="395">
        <f t="shared" si="22"/>
        <v>46930.363015828218</v>
      </c>
    </row>
    <row r="99" spans="1:21" x14ac:dyDescent="0.25">
      <c r="A99" s="202">
        <f>Données!A99</f>
        <v>5560</v>
      </c>
      <c r="B99" s="203" t="str">
        <f>Données!B99</f>
        <v>Grandevent</v>
      </c>
      <c r="C99" s="387">
        <f>Données!C99</f>
        <v>241</v>
      </c>
      <c r="D99" s="379">
        <f t="shared" si="18"/>
        <v>241</v>
      </c>
      <c r="E99" s="379">
        <f t="shared" si="23"/>
        <v>0</v>
      </c>
      <c r="F99" s="388">
        <f t="shared" ref="F99:I108" si="30">IF($C99&lt;F$4,0,IF($C99&gt;F$5,F$5-F$4,$C99-F$4))</f>
        <v>0</v>
      </c>
      <c r="G99" s="378">
        <f t="shared" si="30"/>
        <v>0</v>
      </c>
      <c r="H99" s="379">
        <f t="shared" si="30"/>
        <v>0</v>
      </c>
      <c r="I99" s="388">
        <f t="shared" si="30"/>
        <v>0</v>
      </c>
      <c r="J99" s="389">
        <f t="shared" si="19"/>
        <v>0</v>
      </c>
      <c r="K99" s="378"/>
      <c r="L99" s="379">
        <f t="shared" si="20"/>
        <v>-32032.022749752719</v>
      </c>
      <c r="M99" s="388">
        <f t="shared" si="24"/>
        <v>143126.25207874461</v>
      </c>
      <c r="N99" s="390">
        <f t="shared" si="21"/>
        <v>111094.22932899189</v>
      </c>
      <c r="O99" s="381"/>
      <c r="P99" s="391">
        <f>Données!AC99</f>
        <v>0</v>
      </c>
      <c r="Q99" s="392">
        <f>Données!AD99</f>
        <v>0</v>
      </c>
      <c r="R99" s="393">
        <f t="shared" si="25"/>
        <v>0</v>
      </c>
      <c r="S99" s="394">
        <f t="shared" si="26"/>
        <v>0</v>
      </c>
      <c r="T99" s="393">
        <f t="shared" si="27"/>
        <v>24375.468721583191</v>
      </c>
      <c r="U99" s="395">
        <f t="shared" si="22"/>
        <v>24375.468721583191</v>
      </c>
    </row>
    <row r="100" spans="1:21" x14ac:dyDescent="0.25">
      <c r="A100" s="202">
        <f>Données!A100</f>
        <v>5561</v>
      </c>
      <c r="B100" s="203" t="str">
        <f>Données!B100</f>
        <v>Grandson</v>
      </c>
      <c r="C100" s="387">
        <f>Données!C100</f>
        <v>3396</v>
      </c>
      <c r="D100" s="379">
        <f t="shared" si="18"/>
        <v>1000</v>
      </c>
      <c r="E100" s="379">
        <f t="shared" si="23"/>
        <v>2000</v>
      </c>
      <c r="F100" s="388">
        <f t="shared" si="30"/>
        <v>396</v>
      </c>
      <c r="G100" s="378">
        <f t="shared" si="30"/>
        <v>0</v>
      </c>
      <c r="H100" s="379">
        <f t="shared" si="30"/>
        <v>0</v>
      </c>
      <c r="I100" s="388">
        <f t="shared" si="30"/>
        <v>0</v>
      </c>
      <c r="J100" s="389">
        <f t="shared" si="19"/>
        <v>0</v>
      </c>
      <c r="K100" s="378"/>
      <c r="L100" s="379">
        <f t="shared" si="20"/>
        <v>-1140393.1750741841</v>
      </c>
      <c r="M100" s="388">
        <f t="shared" si="24"/>
        <v>2016832.9960971649</v>
      </c>
      <c r="N100" s="390">
        <f t="shared" si="21"/>
        <v>876439.82102298085</v>
      </c>
      <c r="O100" s="381"/>
      <c r="P100" s="391">
        <f>Données!AC100</f>
        <v>0</v>
      </c>
      <c r="Q100" s="392">
        <f>Données!AD100</f>
        <v>0</v>
      </c>
      <c r="R100" s="393">
        <f t="shared" si="25"/>
        <v>0</v>
      </c>
      <c r="S100" s="394">
        <f t="shared" si="26"/>
        <v>0</v>
      </c>
      <c r="T100" s="393">
        <f t="shared" si="27"/>
        <v>343481.70862446685</v>
      </c>
      <c r="U100" s="395">
        <f t="shared" si="22"/>
        <v>343481.70862446685</v>
      </c>
    </row>
    <row r="101" spans="1:21" x14ac:dyDescent="0.25">
      <c r="A101" s="202">
        <f>Données!A101</f>
        <v>5562</v>
      </c>
      <c r="B101" s="203" t="str">
        <f>Données!B101</f>
        <v>Mauborget</v>
      </c>
      <c r="C101" s="387">
        <f>Données!C101</f>
        <v>145</v>
      </c>
      <c r="D101" s="379">
        <f t="shared" si="18"/>
        <v>145</v>
      </c>
      <c r="E101" s="379">
        <f t="shared" si="23"/>
        <v>0</v>
      </c>
      <c r="F101" s="388">
        <f t="shared" si="30"/>
        <v>0</v>
      </c>
      <c r="G101" s="378">
        <f t="shared" si="30"/>
        <v>0</v>
      </c>
      <c r="H101" s="379">
        <f t="shared" si="30"/>
        <v>0</v>
      </c>
      <c r="I101" s="388">
        <f t="shared" si="30"/>
        <v>0</v>
      </c>
      <c r="J101" s="389">
        <f t="shared" si="19"/>
        <v>0</v>
      </c>
      <c r="K101" s="378"/>
      <c r="L101" s="379">
        <f t="shared" si="20"/>
        <v>-19272.378832838771</v>
      </c>
      <c r="M101" s="388">
        <f t="shared" si="24"/>
        <v>86113.30519260568</v>
      </c>
      <c r="N101" s="390">
        <f t="shared" si="21"/>
        <v>66840.926359766905</v>
      </c>
      <c r="O101" s="381"/>
      <c r="P101" s="391">
        <f>Données!AC101</f>
        <v>0</v>
      </c>
      <c r="Q101" s="392">
        <f>Données!AD101</f>
        <v>0</v>
      </c>
      <c r="R101" s="393">
        <f t="shared" si="25"/>
        <v>0</v>
      </c>
      <c r="S101" s="394">
        <f t="shared" si="26"/>
        <v>0</v>
      </c>
      <c r="T101" s="393">
        <f t="shared" si="27"/>
        <v>14665.738442446318</v>
      </c>
      <c r="U101" s="395">
        <f t="shared" si="22"/>
        <v>14665.738442446318</v>
      </c>
    </row>
    <row r="102" spans="1:21" x14ac:dyDescent="0.25">
      <c r="A102" s="202">
        <f>Données!A102</f>
        <v>5563</v>
      </c>
      <c r="B102" s="203" t="str">
        <f>Données!B102</f>
        <v>Mutrux</v>
      </c>
      <c r="C102" s="387">
        <f>Données!C102</f>
        <v>144</v>
      </c>
      <c r="D102" s="379">
        <f t="shared" si="18"/>
        <v>144</v>
      </c>
      <c r="E102" s="379">
        <f t="shared" si="23"/>
        <v>0</v>
      </c>
      <c r="F102" s="388">
        <f t="shared" si="30"/>
        <v>0</v>
      </c>
      <c r="G102" s="378">
        <f t="shared" si="30"/>
        <v>0</v>
      </c>
      <c r="H102" s="379">
        <f t="shared" si="30"/>
        <v>0</v>
      </c>
      <c r="I102" s="388">
        <f t="shared" si="30"/>
        <v>0</v>
      </c>
      <c r="J102" s="389">
        <f t="shared" si="19"/>
        <v>0</v>
      </c>
      <c r="K102" s="378"/>
      <c r="L102" s="379">
        <f t="shared" si="20"/>
        <v>-19139.465875370919</v>
      </c>
      <c r="M102" s="388">
        <f t="shared" si="24"/>
        <v>85519.420329208398</v>
      </c>
      <c r="N102" s="390">
        <f t="shared" si="21"/>
        <v>66379.954453837476</v>
      </c>
      <c r="O102" s="381"/>
      <c r="P102" s="391">
        <f>Données!AC102</f>
        <v>0</v>
      </c>
      <c r="Q102" s="392">
        <f>Données!AD102</f>
        <v>0</v>
      </c>
      <c r="R102" s="393">
        <f t="shared" si="25"/>
        <v>0</v>
      </c>
      <c r="S102" s="394">
        <f t="shared" si="26"/>
        <v>0</v>
      </c>
      <c r="T102" s="393">
        <f t="shared" si="27"/>
        <v>14564.595418705308</v>
      </c>
      <c r="U102" s="395">
        <f t="shared" si="22"/>
        <v>14564.595418705308</v>
      </c>
    </row>
    <row r="103" spans="1:21" x14ac:dyDescent="0.25">
      <c r="A103" s="202">
        <f>Données!A103</f>
        <v>5564</v>
      </c>
      <c r="B103" s="203" t="str">
        <f>Données!B103</f>
        <v>Novalles</v>
      </c>
      <c r="C103" s="387">
        <f>Données!C103</f>
        <v>106</v>
      </c>
      <c r="D103" s="379">
        <f t="shared" si="18"/>
        <v>106</v>
      </c>
      <c r="E103" s="379">
        <f t="shared" si="23"/>
        <v>0</v>
      </c>
      <c r="F103" s="388">
        <f t="shared" si="30"/>
        <v>0</v>
      </c>
      <c r="G103" s="378">
        <f t="shared" si="30"/>
        <v>0</v>
      </c>
      <c r="H103" s="379">
        <f t="shared" si="30"/>
        <v>0</v>
      </c>
      <c r="I103" s="388">
        <f t="shared" si="30"/>
        <v>0</v>
      </c>
      <c r="J103" s="389">
        <f t="shared" si="19"/>
        <v>0</v>
      </c>
      <c r="K103" s="378"/>
      <c r="L103" s="379">
        <f t="shared" si="20"/>
        <v>-14088.773491592481</v>
      </c>
      <c r="M103" s="388">
        <f t="shared" si="24"/>
        <v>62951.795520111744</v>
      </c>
      <c r="N103" s="390">
        <f t="shared" si="21"/>
        <v>48863.022028519263</v>
      </c>
      <c r="O103" s="381"/>
      <c r="P103" s="391">
        <f>Données!AC103</f>
        <v>0</v>
      </c>
      <c r="Q103" s="392">
        <f>Données!AD103</f>
        <v>0</v>
      </c>
      <c r="R103" s="393">
        <f t="shared" si="25"/>
        <v>0</v>
      </c>
      <c r="S103" s="394">
        <f t="shared" si="26"/>
        <v>0</v>
      </c>
      <c r="T103" s="393">
        <f t="shared" si="27"/>
        <v>10721.160516546963</v>
      </c>
      <c r="U103" s="395">
        <f t="shared" si="22"/>
        <v>10721.160516546963</v>
      </c>
    </row>
    <row r="104" spans="1:21" x14ac:dyDescent="0.25">
      <c r="A104" s="202">
        <f>Données!A104</f>
        <v>5565</v>
      </c>
      <c r="B104" s="203" t="str">
        <f>Données!B104</f>
        <v>Onnens</v>
      </c>
      <c r="C104" s="387">
        <f>Données!C104</f>
        <v>520</v>
      </c>
      <c r="D104" s="379">
        <f t="shared" si="18"/>
        <v>520</v>
      </c>
      <c r="E104" s="379">
        <f t="shared" si="23"/>
        <v>0</v>
      </c>
      <c r="F104" s="388">
        <f t="shared" si="30"/>
        <v>0</v>
      </c>
      <c r="G104" s="378">
        <f t="shared" si="30"/>
        <v>0</v>
      </c>
      <c r="H104" s="379">
        <f t="shared" si="30"/>
        <v>0</v>
      </c>
      <c r="I104" s="388">
        <f t="shared" si="30"/>
        <v>0</v>
      </c>
      <c r="J104" s="389">
        <f t="shared" si="19"/>
        <v>0</v>
      </c>
      <c r="K104" s="378"/>
      <c r="L104" s="379">
        <f t="shared" si="20"/>
        <v>-69114.737883283873</v>
      </c>
      <c r="M104" s="388">
        <f t="shared" si="24"/>
        <v>308820.12896658591</v>
      </c>
      <c r="N104" s="390">
        <f t="shared" si="21"/>
        <v>239705.39108330203</v>
      </c>
      <c r="O104" s="381"/>
      <c r="P104" s="391">
        <f>Données!AC104</f>
        <v>0</v>
      </c>
      <c r="Q104" s="392">
        <f>Données!AD104</f>
        <v>0</v>
      </c>
      <c r="R104" s="393">
        <f t="shared" si="25"/>
        <v>0</v>
      </c>
      <c r="S104" s="394">
        <f t="shared" si="26"/>
        <v>0</v>
      </c>
      <c r="T104" s="393">
        <f t="shared" si="27"/>
        <v>52594.372345324729</v>
      </c>
      <c r="U104" s="395">
        <f t="shared" si="22"/>
        <v>52594.372345324729</v>
      </c>
    </row>
    <row r="105" spans="1:21" x14ac:dyDescent="0.25">
      <c r="A105" s="202">
        <f>Données!A105</f>
        <v>5566</v>
      </c>
      <c r="B105" s="203" t="str">
        <f>Données!B105</f>
        <v>Provence</v>
      </c>
      <c r="C105" s="387">
        <f>Données!C105</f>
        <v>411</v>
      </c>
      <c r="D105" s="379">
        <f t="shared" si="18"/>
        <v>411</v>
      </c>
      <c r="E105" s="379">
        <f t="shared" si="23"/>
        <v>0</v>
      </c>
      <c r="F105" s="388">
        <f t="shared" si="30"/>
        <v>0</v>
      </c>
      <c r="G105" s="378">
        <f t="shared" si="30"/>
        <v>0</v>
      </c>
      <c r="H105" s="379">
        <f t="shared" si="30"/>
        <v>0</v>
      </c>
      <c r="I105" s="388">
        <f t="shared" si="30"/>
        <v>0</v>
      </c>
      <c r="J105" s="389">
        <f t="shared" si="19"/>
        <v>0</v>
      </c>
      <c r="K105" s="378"/>
      <c r="L105" s="379">
        <f t="shared" si="20"/>
        <v>-54627.225519287829</v>
      </c>
      <c r="M105" s="388">
        <f t="shared" si="24"/>
        <v>244086.67885628232</v>
      </c>
      <c r="N105" s="390">
        <f t="shared" si="21"/>
        <v>189459.45333699448</v>
      </c>
      <c r="O105" s="381"/>
      <c r="P105" s="391">
        <f>Données!AC105</f>
        <v>0</v>
      </c>
      <c r="Q105" s="392">
        <f>Données!AD105</f>
        <v>0</v>
      </c>
      <c r="R105" s="393">
        <f t="shared" si="25"/>
        <v>0</v>
      </c>
      <c r="S105" s="394">
        <f t="shared" si="26"/>
        <v>0</v>
      </c>
      <c r="T105" s="393">
        <f t="shared" si="27"/>
        <v>41569.782757554734</v>
      </c>
      <c r="U105" s="395">
        <f t="shared" si="22"/>
        <v>41569.782757554734</v>
      </c>
    </row>
    <row r="106" spans="1:21" x14ac:dyDescent="0.25">
      <c r="A106" s="202">
        <f>Données!A106</f>
        <v>5568</v>
      </c>
      <c r="B106" s="203" t="str">
        <f>Données!B106</f>
        <v>Sainte-Croix</v>
      </c>
      <c r="C106" s="387">
        <f>Données!C106</f>
        <v>5130</v>
      </c>
      <c r="D106" s="379">
        <f t="shared" si="18"/>
        <v>1000</v>
      </c>
      <c r="E106" s="379">
        <f t="shared" si="23"/>
        <v>2000</v>
      </c>
      <c r="F106" s="388">
        <f t="shared" si="30"/>
        <v>2130</v>
      </c>
      <c r="G106" s="378">
        <f t="shared" si="30"/>
        <v>0</v>
      </c>
      <c r="H106" s="379">
        <f t="shared" si="30"/>
        <v>0</v>
      </c>
      <c r="I106" s="388">
        <f t="shared" si="30"/>
        <v>0</v>
      </c>
      <c r="J106" s="389">
        <f t="shared" si="19"/>
        <v>0</v>
      </c>
      <c r="K106" s="378"/>
      <c r="L106" s="379">
        <f t="shared" si="20"/>
        <v>-2292748.5163204749</v>
      </c>
      <c r="M106" s="388">
        <f t="shared" si="24"/>
        <v>3046629.3492280492</v>
      </c>
      <c r="N106" s="390">
        <f t="shared" si="21"/>
        <v>753880.83290757425</v>
      </c>
      <c r="O106" s="381"/>
      <c r="P106" s="391">
        <f>Données!AC106</f>
        <v>0</v>
      </c>
      <c r="Q106" s="392">
        <f>Données!AD106</f>
        <v>0</v>
      </c>
      <c r="R106" s="393">
        <f t="shared" si="25"/>
        <v>0</v>
      </c>
      <c r="S106" s="394">
        <f t="shared" si="26"/>
        <v>0</v>
      </c>
      <c r="T106" s="393">
        <f t="shared" si="27"/>
        <v>518863.71179137664</v>
      </c>
      <c r="U106" s="395">
        <f t="shared" si="22"/>
        <v>518863.71179137664</v>
      </c>
    </row>
    <row r="107" spans="1:21" x14ac:dyDescent="0.25">
      <c r="A107" s="202">
        <f>Données!A107</f>
        <v>5571</v>
      </c>
      <c r="B107" s="203" t="str">
        <f>Données!B107</f>
        <v>Tévenon</v>
      </c>
      <c r="C107" s="387">
        <f>Données!C107</f>
        <v>861</v>
      </c>
      <c r="D107" s="379">
        <f t="shared" si="18"/>
        <v>861</v>
      </c>
      <c r="E107" s="379">
        <f t="shared" si="23"/>
        <v>0</v>
      </c>
      <c r="F107" s="388">
        <f t="shared" si="30"/>
        <v>0</v>
      </c>
      <c r="G107" s="378">
        <f t="shared" si="30"/>
        <v>0</v>
      </c>
      <c r="H107" s="379">
        <f t="shared" si="30"/>
        <v>0</v>
      </c>
      <c r="I107" s="388">
        <f t="shared" si="30"/>
        <v>0</v>
      </c>
      <c r="J107" s="389">
        <f t="shared" si="19"/>
        <v>0</v>
      </c>
      <c r="K107" s="378"/>
      <c r="L107" s="379">
        <f t="shared" si="20"/>
        <v>-114438.05637982195</v>
      </c>
      <c r="M107" s="388">
        <f t="shared" si="24"/>
        <v>511334.86738505861</v>
      </c>
      <c r="N107" s="390">
        <f t="shared" si="21"/>
        <v>396896.81100523664</v>
      </c>
      <c r="O107" s="381"/>
      <c r="P107" s="391">
        <f>Données!AC107</f>
        <v>0</v>
      </c>
      <c r="Q107" s="392">
        <f>Données!AD107</f>
        <v>0</v>
      </c>
      <c r="R107" s="393">
        <f t="shared" si="25"/>
        <v>0</v>
      </c>
      <c r="S107" s="394">
        <f t="shared" si="26"/>
        <v>0</v>
      </c>
      <c r="T107" s="393">
        <f t="shared" si="27"/>
        <v>87084.143441008826</v>
      </c>
      <c r="U107" s="395">
        <f t="shared" si="22"/>
        <v>87084.143441008826</v>
      </c>
    </row>
    <row r="108" spans="1:21" x14ac:dyDescent="0.25">
      <c r="A108" s="202">
        <f>Données!A108</f>
        <v>5581</v>
      </c>
      <c r="B108" s="203" t="str">
        <f>Données!B108</f>
        <v>Belmont-sur-Lausanne</v>
      </c>
      <c r="C108" s="387">
        <f>Données!C108</f>
        <v>3922</v>
      </c>
      <c r="D108" s="379">
        <f t="shared" si="18"/>
        <v>1000</v>
      </c>
      <c r="E108" s="379">
        <f t="shared" si="23"/>
        <v>2000</v>
      </c>
      <c r="F108" s="388">
        <f t="shared" si="30"/>
        <v>922</v>
      </c>
      <c r="G108" s="378">
        <f t="shared" si="30"/>
        <v>0</v>
      </c>
      <c r="H108" s="379">
        <f t="shared" si="30"/>
        <v>0</v>
      </c>
      <c r="I108" s="388">
        <f t="shared" si="30"/>
        <v>0</v>
      </c>
      <c r="J108" s="389">
        <f t="shared" si="19"/>
        <v>0</v>
      </c>
      <c r="K108" s="378"/>
      <c r="L108" s="379">
        <f t="shared" si="20"/>
        <v>-1489954.2532146391</v>
      </c>
      <c r="M108" s="388">
        <f t="shared" si="24"/>
        <v>2329216.4342441345</v>
      </c>
      <c r="N108" s="390">
        <f t="shared" si="21"/>
        <v>839262.18102949532</v>
      </c>
      <c r="O108" s="381"/>
      <c r="P108" s="391">
        <f>Données!AC108</f>
        <v>1604050</v>
      </c>
      <c r="Q108" s="392">
        <f>Données!AD108</f>
        <v>-254396.11999999988</v>
      </c>
      <c r="R108" s="393">
        <f t="shared" si="25"/>
        <v>1349653.8800000001</v>
      </c>
      <c r="S108" s="394">
        <f t="shared" si="26"/>
        <v>-809792.3280000001</v>
      </c>
      <c r="T108" s="393">
        <f t="shared" si="27"/>
        <v>396682.93911223765</v>
      </c>
      <c r="U108" s="395">
        <f t="shared" si="22"/>
        <v>-413109.38888776244</v>
      </c>
    </row>
    <row r="109" spans="1:21" x14ac:dyDescent="0.25">
      <c r="A109" s="202">
        <f>Données!A109</f>
        <v>5582</v>
      </c>
      <c r="B109" s="203" t="str">
        <f>Données!B109</f>
        <v>Cheseaux-sur-Lausanne</v>
      </c>
      <c r="C109" s="387">
        <f>Données!C109</f>
        <v>4855</v>
      </c>
      <c r="D109" s="379">
        <f t="shared" si="18"/>
        <v>1000</v>
      </c>
      <c r="E109" s="379">
        <f t="shared" si="23"/>
        <v>2000</v>
      </c>
      <c r="F109" s="388">
        <f t="shared" ref="F109:I118" si="31">IF($C109&lt;F$4,0,IF($C109&gt;F$5,F$5-F$4,$C109-F$4))</f>
        <v>1855</v>
      </c>
      <c r="G109" s="378">
        <f t="shared" si="31"/>
        <v>0</v>
      </c>
      <c r="H109" s="379">
        <f t="shared" si="31"/>
        <v>0</v>
      </c>
      <c r="I109" s="388">
        <f t="shared" si="31"/>
        <v>0</v>
      </c>
      <c r="J109" s="389">
        <f t="shared" si="19"/>
        <v>0</v>
      </c>
      <c r="K109" s="378"/>
      <c r="L109" s="379">
        <f t="shared" si="20"/>
        <v>-2109993.1998021761</v>
      </c>
      <c r="M109" s="388">
        <f t="shared" si="24"/>
        <v>2883311.0117937974</v>
      </c>
      <c r="N109" s="390">
        <f t="shared" si="21"/>
        <v>773317.81199162127</v>
      </c>
      <c r="O109" s="381"/>
      <c r="P109" s="391">
        <f>Données!AC109</f>
        <v>0</v>
      </c>
      <c r="Q109" s="392">
        <f>Données!AD109</f>
        <v>0</v>
      </c>
      <c r="R109" s="393">
        <f t="shared" si="25"/>
        <v>0</v>
      </c>
      <c r="S109" s="394">
        <f t="shared" si="26"/>
        <v>0</v>
      </c>
      <c r="T109" s="393">
        <f t="shared" si="27"/>
        <v>491049.38026259915</v>
      </c>
      <c r="U109" s="395">
        <f t="shared" si="22"/>
        <v>491049.38026259915</v>
      </c>
    </row>
    <row r="110" spans="1:21" x14ac:dyDescent="0.25">
      <c r="A110" s="202">
        <f>Données!A110</f>
        <v>5583</v>
      </c>
      <c r="B110" s="203" t="str">
        <f>Données!B110</f>
        <v>Crissier</v>
      </c>
      <c r="C110" s="387">
        <f>Données!C110</f>
        <v>10680</v>
      </c>
      <c r="D110" s="379">
        <f t="shared" si="18"/>
        <v>1000</v>
      </c>
      <c r="E110" s="379">
        <f t="shared" si="23"/>
        <v>2000</v>
      </c>
      <c r="F110" s="388">
        <f t="shared" si="31"/>
        <v>7680</v>
      </c>
      <c r="G110" s="378">
        <f t="shared" si="31"/>
        <v>0</v>
      </c>
      <c r="H110" s="379">
        <f t="shared" si="31"/>
        <v>0</v>
      </c>
      <c r="I110" s="388">
        <f t="shared" si="31"/>
        <v>0</v>
      </c>
      <c r="J110" s="389">
        <f t="shared" si="19"/>
        <v>0</v>
      </c>
      <c r="K110" s="378"/>
      <c r="L110" s="379">
        <f t="shared" si="20"/>
        <v>-5981083.0860534124</v>
      </c>
      <c r="M110" s="388">
        <f t="shared" si="24"/>
        <v>6342690.3410829566</v>
      </c>
      <c r="N110" s="390">
        <f t="shared" si="21"/>
        <v>361607.25502954423</v>
      </c>
      <c r="O110" s="381"/>
      <c r="P110" s="391">
        <f>Données!AC110</f>
        <v>5341090.2650237922</v>
      </c>
      <c r="Q110" s="392">
        <f>Données!AD110</f>
        <v>-789537.42497620825</v>
      </c>
      <c r="R110" s="393">
        <f t="shared" si="25"/>
        <v>4551552.8400475839</v>
      </c>
      <c r="S110" s="394">
        <f t="shared" si="26"/>
        <v>-2730931.7040285501</v>
      </c>
      <c r="T110" s="393">
        <f t="shared" si="27"/>
        <v>1080207.493553977</v>
      </c>
      <c r="U110" s="395">
        <f t="shared" si="22"/>
        <v>-1650724.2104745731</v>
      </c>
    </row>
    <row r="111" spans="1:21" x14ac:dyDescent="0.25">
      <c r="A111" s="202">
        <f>Données!A111</f>
        <v>5584</v>
      </c>
      <c r="B111" s="203" t="str">
        <f>Données!B111</f>
        <v>Epalinges</v>
      </c>
      <c r="C111" s="387">
        <f>Données!C111</f>
        <v>9905</v>
      </c>
      <c r="D111" s="379">
        <f t="shared" si="18"/>
        <v>1000</v>
      </c>
      <c r="E111" s="379">
        <f t="shared" si="23"/>
        <v>2000</v>
      </c>
      <c r="F111" s="388">
        <f t="shared" si="31"/>
        <v>6905</v>
      </c>
      <c r="G111" s="378">
        <f t="shared" si="31"/>
        <v>0</v>
      </c>
      <c r="H111" s="379">
        <f t="shared" si="31"/>
        <v>0</v>
      </c>
      <c r="I111" s="388">
        <f t="shared" si="31"/>
        <v>0</v>
      </c>
      <c r="J111" s="389">
        <f t="shared" si="19"/>
        <v>0</v>
      </c>
      <c r="K111" s="378"/>
      <c r="L111" s="379">
        <f t="shared" si="20"/>
        <v>-5466045.3758654799</v>
      </c>
      <c r="M111" s="388">
        <f t="shared" si="24"/>
        <v>5882429.571950064</v>
      </c>
      <c r="N111" s="390">
        <f t="shared" si="21"/>
        <v>416384.19608458411</v>
      </c>
      <c r="O111" s="381"/>
      <c r="P111" s="391">
        <f>Données!AC111</f>
        <v>4595625</v>
      </c>
      <c r="Q111" s="392">
        <f>Données!AD111</f>
        <v>-661546.86000000034</v>
      </c>
      <c r="R111" s="393">
        <f t="shared" si="25"/>
        <v>3934078.1399999997</v>
      </c>
      <c r="S111" s="394">
        <f t="shared" si="26"/>
        <v>-2360446.8839999996</v>
      </c>
      <c r="T111" s="393">
        <f t="shared" si="27"/>
        <v>1001821.650154695</v>
      </c>
      <c r="U111" s="395">
        <f t="shared" si="22"/>
        <v>-1358625.2338453047</v>
      </c>
    </row>
    <row r="112" spans="1:21" x14ac:dyDescent="0.25">
      <c r="A112" s="202">
        <f>Données!A112</f>
        <v>5585</v>
      </c>
      <c r="B112" s="203" t="str">
        <f>Données!B112</f>
        <v>Jouxtens-Mézery</v>
      </c>
      <c r="C112" s="387">
        <f>Données!C112</f>
        <v>1482</v>
      </c>
      <c r="D112" s="379">
        <f t="shared" si="18"/>
        <v>1000</v>
      </c>
      <c r="E112" s="379">
        <f t="shared" si="23"/>
        <v>482</v>
      </c>
      <c r="F112" s="388">
        <f t="shared" si="31"/>
        <v>0</v>
      </c>
      <c r="G112" s="378">
        <f t="shared" si="31"/>
        <v>0</v>
      </c>
      <c r="H112" s="379">
        <f t="shared" si="31"/>
        <v>0</v>
      </c>
      <c r="I112" s="388">
        <f t="shared" si="31"/>
        <v>0</v>
      </c>
      <c r="J112" s="389">
        <f t="shared" si="19"/>
        <v>0</v>
      </c>
      <c r="K112" s="378"/>
      <c r="L112" s="379">
        <f t="shared" si="20"/>
        <v>-312292.28486646886</v>
      </c>
      <c r="M112" s="388">
        <f t="shared" si="24"/>
        <v>880137.36755476985</v>
      </c>
      <c r="N112" s="390">
        <f t="shared" si="21"/>
        <v>567845.08268830099</v>
      </c>
      <c r="O112" s="381"/>
      <c r="P112" s="391">
        <f>Données!AC112</f>
        <v>0</v>
      </c>
      <c r="Q112" s="392">
        <f>Données!AD112</f>
        <v>0</v>
      </c>
      <c r="R112" s="393">
        <f t="shared" si="25"/>
        <v>0</v>
      </c>
      <c r="S112" s="394">
        <f t="shared" si="26"/>
        <v>0</v>
      </c>
      <c r="T112" s="393">
        <f t="shared" si="27"/>
        <v>149893.96118417548</v>
      </c>
      <c r="U112" s="395">
        <f t="shared" si="22"/>
        <v>149893.96118417548</v>
      </c>
    </row>
    <row r="113" spans="1:21" x14ac:dyDescent="0.25">
      <c r="A113" s="202">
        <f>Données!A113</f>
        <v>5586</v>
      </c>
      <c r="B113" s="203" t="str">
        <f>Données!B113</f>
        <v>Lausanne</v>
      </c>
      <c r="C113" s="387">
        <f>Données!C113</f>
        <v>145037</v>
      </c>
      <c r="D113" s="379">
        <f t="shared" si="18"/>
        <v>1000</v>
      </c>
      <c r="E113" s="379">
        <f t="shared" si="23"/>
        <v>2000</v>
      </c>
      <c r="F113" s="388">
        <f t="shared" si="31"/>
        <v>9000</v>
      </c>
      <c r="G113" s="378">
        <f t="shared" si="31"/>
        <v>3000</v>
      </c>
      <c r="H113" s="379">
        <f t="shared" si="31"/>
        <v>15000</v>
      </c>
      <c r="I113" s="388">
        <f t="shared" si="31"/>
        <v>15000</v>
      </c>
      <c r="J113" s="389">
        <f t="shared" si="19"/>
        <v>100037</v>
      </c>
      <c r="K113" s="378"/>
      <c r="L113" s="379">
        <f t="shared" si="20"/>
        <v>-166664927.05242336</v>
      </c>
      <c r="M113" s="388">
        <f t="shared" si="24"/>
        <v>86135278.932551384</v>
      </c>
      <c r="N113" s="390">
        <f t="shared" si="21"/>
        <v>-80529648.119871974</v>
      </c>
      <c r="O113" s="381"/>
      <c r="P113" s="391">
        <f>Données!AC113</f>
        <v>68330995.187872887</v>
      </c>
      <c r="Q113" s="392">
        <f>Données!AD113</f>
        <v>-10402127.202127121</v>
      </c>
      <c r="R113" s="393">
        <f t="shared" si="25"/>
        <v>57928867.985745765</v>
      </c>
      <c r="S113" s="394">
        <f t="shared" si="26"/>
        <v>-34757320.791447461</v>
      </c>
      <c r="T113" s="393">
        <f t="shared" si="27"/>
        <v>14669480.734324735</v>
      </c>
      <c r="U113" s="395">
        <f t="shared" si="22"/>
        <v>-20087840.057122726</v>
      </c>
    </row>
    <row r="114" spans="1:21" x14ac:dyDescent="0.25">
      <c r="A114" s="202">
        <f>Données!A114</f>
        <v>5587</v>
      </c>
      <c r="B114" s="203" t="str">
        <f>Données!B114</f>
        <v>Le Mont-sur-Lausanne</v>
      </c>
      <c r="C114" s="387">
        <f>Données!C114</f>
        <v>9543</v>
      </c>
      <c r="D114" s="379">
        <f t="shared" si="18"/>
        <v>1000</v>
      </c>
      <c r="E114" s="379">
        <f t="shared" si="23"/>
        <v>2000</v>
      </c>
      <c r="F114" s="388">
        <f t="shared" si="31"/>
        <v>6543</v>
      </c>
      <c r="G114" s="378">
        <f t="shared" si="31"/>
        <v>0</v>
      </c>
      <c r="H114" s="379">
        <f t="shared" si="31"/>
        <v>0</v>
      </c>
      <c r="I114" s="388">
        <f t="shared" si="31"/>
        <v>0</v>
      </c>
      <c r="J114" s="389">
        <f t="shared" si="19"/>
        <v>0</v>
      </c>
      <c r="K114" s="378"/>
      <c r="L114" s="379">
        <f t="shared" si="20"/>
        <v>-5225472.9228486652</v>
      </c>
      <c r="M114" s="388">
        <f t="shared" si="24"/>
        <v>5667443.2514002481</v>
      </c>
      <c r="N114" s="390">
        <f t="shared" si="21"/>
        <v>441970.32855158299</v>
      </c>
      <c r="O114" s="381"/>
      <c r="P114" s="391">
        <f>Données!AC114</f>
        <v>3439575</v>
      </c>
      <c r="Q114" s="392">
        <f>Données!AD114</f>
        <v>-483495.85000000056</v>
      </c>
      <c r="R114" s="393">
        <f t="shared" si="25"/>
        <v>2956079.1499999994</v>
      </c>
      <c r="S114" s="394">
        <f t="shared" si="26"/>
        <v>-1773647.4899999995</v>
      </c>
      <c r="T114" s="393">
        <f t="shared" si="27"/>
        <v>965207.87556044979</v>
      </c>
      <c r="U114" s="395">
        <f t="shared" si="22"/>
        <v>-808439.61443954974</v>
      </c>
    </row>
    <row r="115" spans="1:21" x14ac:dyDescent="0.25">
      <c r="A115" s="202">
        <f>Données!A115</f>
        <v>5588</v>
      </c>
      <c r="B115" s="203" t="str">
        <f>Données!B115</f>
        <v>Paudex</v>
      </c>
      <c r="C115" s="387">
        <f>Données!C115</f>
        <v>1512</v>
      </c>
      <c r="D115" s="379">
        <f t="shared" si="18"/>
        <v>1000</v>
      </c>
      <c r="E115" s="379">
        <f t="shared" si="23"/>
        <v>512</v>
      </c>
      <c r="F115" s="388">
        <f t="shared" si="31"/>
        <v>0</v>
      </c>
      <c r="G115" s="378">
        <f t="shared" si="31"/>
        <v>0</v>
      </c>
      <c r="H115" s="379">
        <f t="shared" si="31"/>
        <v>0</v>
      </c>
      <c r="I115" s="388">
        <f t="shared" si="31"/>
        <v>0</v>
      </c>
      <c r="J115" s="389">
        <f t="shared" si="19"/>
        <v>0</v>
      </c>
      <c r="K115" s="378"/>
      <c r="L115" s="379">
        <f t="shared" si="20"/>
        <v>-323456.97329376859</v>
      </c>
      <c r="M115" s="388">
        <f t="shared" si="24"/>
        <v>897953.91345668829</v>
      </c>
      <c r="N115" s="390">
        <f t="shared" si="21"/>
        <v>574496.94016291969</v>
      </c>
      <c r="O115" s="381"/>
      <c r="P115" s="391">
        <f>Données!AC115</f>
        <v>602875</v>
      </c>
      <c r="Q115" s="392">
        <f>Données!AD115</f>
        <v>-99495.100000000093</v>
      </c>
      <c r="R115" s="393">
        <f t="shared" si="25"/>
        <v>503379.89999999991</v>
      </c>
      <c r="S115" s="394">
        <f t="shared" si="26"/>
        <v>-302027.93999999994</v>
      </c>
      <c r="T115" s="393">
        <f t="shared" si="27"/>
        <v>152928.25189640574</v>
      </c>
      <c r="U115" s="395">
        <f t="shared" si="22"/>
        <v>-149099.68810359421</v>
      </c>
    </row>
    <row r="116" spans="1:21" x14ac:dyDescent="0.25">
      <c r="A116" s="202">
        <f>Données!A116</f>
        <v>5589</v>
      </c>
      <c r="B116" s="203" t="str">
        <f>Données!B116</f>
        <v>Prilly</v>
      </c>
      <c r="C116" s="387">
        <f>Données!C116</f>
        <v>12766</v>
      </c>
      <c r="D116" s="379">
        <f t="shared" si="18"/>
        <v>1000</v>
      </c>
      <c r="E116" s="379">
        <f t="shared" si="23"/>
        <v>2000</v>
      </c>
      <c r="F116" s="388">
        <f t="shared" si="31"/>
        <v>9000</v>
      </c>
      <c r="G116" s="378">
        <f t="shared" si="31"/>
        <v>766</v>
      </c>
      <c r="H116" s="379">
        <f t="shared" si="31"/>
        <v>0</v>
      </c>
      <c r="I116" s="388">
        <f t="shared" si="31"/>
        <v>0</v>
      </c>
      <c r="J116" s="389">
        <f t="shared" si="19"/>
        <v>0</v>
      </c>
      <c r="K116" s="378"/>
      <c r="L116" s="379">
        <f t="shared" si="20"/>
        <v>-7672799.2087042537</v>
      </c>
      <c r="M116" s="388">
        <f t="shared" si="24"/>
        <v>7581534.1661296841</v>
      </c>
      <c r="N116" s="390">
        <f t="shared" si="21"/>
        <v>-91265.042574569583</v>
      </c>
      <c r="O116" s="381"/>
      <c r="P116" s="391">
        <f>Données!AC116</f>
        <v>4357040.1012730738</v>
      </c>
      <c r="Q116" s="392">
        <f>Données!AD116</f>
        <v>-699150.66872692527</v>
      </c>
      <c r="R116" s="393">
        <f t="shared" si="25"/>
        <v>3657889.4325461485</v>
      </c>
      <c r="S116" s="394">
        <f t="shared" si="26"/>
        <v>-2194733.6595276892</v>
      </c>
      <c r="T116" s="393">
        <f t="shared" si="27"/>
        <v>1291191.8410777219</v>
      </c>
      <c r="U116" s="395">
        <f t="shared" si="22"/>
        <v>-903541.81844996731</v>
      </c>
    </row>
    <row r="117" spans="1:21" x14ac:dyDescent="0.25">
      <c r="A117" s="202">
        <f>Données!A117</f>
        <v>5590</v>
      </c>
      <c r="B117" s="203" t="str">
        <f>Données!B117</f>
        <v>Pully</v>
      </c>
      <c r="C117" s="387">
        <f>Données!C117</f>
        <v>19545</v>
      </c>
      <c r="D117" s="379">
        <f t="shared" si="18"/>
        <v>1000</v>
      </c>
      <c r="E117" s="379">
        <f t="shared" si="23"/>
        <v>2000</v>
      </c>
      <c r="F117" s="388">
        <f t="shared" si="31"/>
        <v>9000</v>
      </c>
      <c r="G117" s="378">
        <f t="shared" si="31"/>
        <v>3000</v>
      </c>
      <c r="H117" s="379">
        <f t="shared" si="31"/>
        <v>4545</v>
      </c>
      <c r="I117" s="388">
        <f t="shared" si="31"/>
        <v>0</v>
      </c>
      <c r="J117" s="389">
        <f t="shared" si="19"/>
        <v>0</v>
      </c>
      <c r="K117" s="378"/>
      <c r="L117" s="379">
        <f t="shared" si="20"/>
        <v>-15122570.474777449</v>
      </c>
      <c r="M117" s="388">
        <f t="shared" si="24"/>
        <v>11607479.655099848</v>
      </c>
      <c r="N117" s="390">
        <f t="shared" si="21"/>
        <v>-3515090.8196776006</v>
      </c>
      <c r="O117" s="381"/>
      <c r="P117" s="391">
        <f>Données!AC117</f>
        <v>10661060</v>
      </c>
      <c r="Q117" s="392">
        <f>Données!AD117</f>
        <v>-1652483.7400000002</v>
      </c>
      <c r="R117" s="393">
        <f t="shared" si="25"/>
        <v>9008576.2599999998</v>
      </c>
      <c r="S117" s="394">
        <f t="shared" si="26"/>
        <v>-5405145.7560000001</v>
      </c>
      <c r="T117" s="393">
        <f t="shared" si="27"/>
        <v>1976840.3990180227</v>
      </c>
      <c r="U117" s="395">
        <f t="shared" si="22"/>
        <v>-3428305.3569819774</v>
      </c>
    </row>
    <row r="118" spans="1:21" x14ac:dyDescent="0.25">
      <c r="A118" s="202">
        <f>Données!A118</f>
        <v>5591</v>
      </c>
      <c r="B118" s="203" t="str">
        <f>Données!B118</f>
        <v>Renens</v>
      </c>
      <c r="C118" s="387">
        <f>Données!C118</f>
        <v>21568</v>
      </c>
      <c r="D118" s="379">
        <f t="shared" si="18"/>
        <v>1000</v>
      </c>
      <c r="E118" s="379">
        <f t="shared" si="23"/>
        <v>2000</v>
      </c>
      <c r="F118" s="388">
        <f t="shared" si="31"/>
        <v>9000</v>
      </c>
      <c r="G118" s="378">
        <f t="shared" si="31"/>
        <v>3000</v>
      </c>
      <c r="H118" s="379">
        <f t="shared" si="31"/>
        <v>6568</v>
      </c>
      <c r="I118" s="388">
        <f t="shared" si="31"/>
        <v>0</v>
      </c>
      <c r="J118" s="389">
        <f t="shared" si="19"/>
        <v>0</v>
      </c>
      <c r="K118" s="378"/>
      <c r="L118" s="379">
        <f t="shared" si="20"/>
        <v>-17381186.943620179</v>
      </c>
      <c r="M118" s="388">
        <f t="shared" si="24"/>
        <v>12808908.733752547</v>
      </c>
      <c r="N118" s="390">
        <f t="shared" si="21"/>
        <v>-4572278.209867632</v>
      </c>
      <c r="O118" s="381"/>
      <c r="P118" s="391">
        <f>Données!AC118</f>
        <v>9719007.9282848164</v>
      </c>
      <c r="Q118" s="392">
        <f>Données!AD118</f>
        <v>-1477289.0317151845</v>
      </c>
      <c r="R118" s="393">
        <f t="shared" si="25"/>
        <v>8241718.896569632</v>
      </c>
      <c r="S118" s="394">
        <f t="shared" si="26"/>
        <v>-4945031.3379417788</v>
      </c>
      <c r="T118" s="393">
        <f t="shared" si="27"/>
        <v>2181452.7360460842</v>
      </c>
      <c r="U118" s="395">
        <f t="shared" si="22"/>
        <v>-2763578.6018956946</v>
      </c>
    </row>
    <row r="119" spans="1:21" x14ac:dyDescent="0.25">
      <c r="A119" s="202">
        <f>Données!A119</f>
        <v>5592</v>
      </c>
      <c r="B119" s="203" t="str">
        <f>Données!B119</f>
        <v>Romanel-sur-Lausanne</v>
      </c>
      <c r="C119" s="387">
        <f>Données!C119</f>
        <v>4325</v>
      </c>
      <c r="D119" s="379">
        <f t="shared" si="18"/>
        <v>1000</v>
      </c>
      <c r="E119" s="379">
        <f t="shared" si="23"/>
        <v>2000</v>
      </c>
      <c r="F119" s="388">
        <f t="shared" ref="F119:I128" si="32">IF($C119&lt;F$4,0,IF($C119&gt;F$5,F$5-F$4,$C119-F$4))</f>
        <v>1325</v>
      </c>
      <c r="G119" s="378">
        <f t="shared" si="32"/>
        <v>0</v>
      </c>
      <c r="H119" s="379">
        <f t="shared" si="32"/>
        <v>0</v>
      </c>
      <c r="I119" s="388">
        <f t="shared" si="32"/>
        <v>0</v>
      </c>
      <c r="J119" s="389">
        <f t="shared" si="19"/>
        <v>0</v>
      </c>
      <c r="K119" s="378"/>
      <c r="L119" s="379">
        <f t="shared" si="20"/>
        <v>-1757773.8625123641</v>
      </c>
      <c r="M119" s="388">
        <f t="shared" si="24"/>
        <v>2568552.0341932387</v>
      </c>
      <c r="N119" s="390">
        <f t="shared" si="21"/>
        <v>810778.17168087466</v>
      </c>
      <c r="O119" s="381"/>
      <c r="P119" s="391">
        <f>Données!AC119</f>
        <v>0</v>
      </c>
      <c r="Q119" s="392">
        <f>Données!AD119</f>
        <v>0</v>
      </c>
      <c r="R119" s="393">
        <f t="shared" si="25"/>
        <v>0</v>
      </c>
      <c r="S119" s="394">
        <f t="shared" si="26"/>
        <v>0</v>
      </c>
      <c r="T119" s="393">
        <f t="shared" si="27"/>
        <v>437443.57767986431</v>
      </c>
      <c r="U119" s="395">
        <f t="shared" si="22"/>
        <v>437443.57767986431</v>
      </c>
    </row>
    <row r="120" spans="1:21" x14ac:dyDescent="0.25">
      <c r="A120" s="202">
        <f>Données!A120</f>
        <v>5601</v>
      </c>
      <c r="B120" s="203" t="str">
        <f>Données!B120</f>
        <v>Chexbres</v>
      </c>
      <c r="C120" s="387">
        <f>Données!C120</f>
        <v>2263</v>
      </c>
      <c r="D120" s="379">
        <f t="shared" si="18"/>
        <v>1000</v>
      </c>
      <c r="E120" s="379">
        <f t="shared" si="23"/>
        <v>1263</v>
      </c>
      <c r="F120" s="388">
        <f t="shared" si="32"/>
        <v>0</v>
      </c>
      <c r="G120" s="378">
        <f t="shared" si="32"/>
        <v>0</v>
      </c>
      <c r="H120" s="379">
        <f t="shared" si="32"/>
        <v>0</v>
      </c>
      <c r="I120" s="388">
        <f t="shared" si="32"/>
        <v>0</v>
      </c>
      <c r="J120" s="389">
        <f t="shared" si="19"/>
        <v>0</v>
      </c>
      <c r="K120" s="378"/>
      <c r="L120" s="379">
        <f t="shared" si="20"/>
        <v>-602946.34025717108</v>
      </c>
      <c r="M120" s="388">
        <f t="shared" si="24"/>
        <v>1343961.445868046</v>
      </c>
      <c r="N120" s="390">
        <f t="shared" si="21"/>
        <v>741015.10561087495</v>
      </c>
      <c r="O120" s="381"/>
      <c r="P120" s="391">
        <f>Données!AC120</f>
        <v>0</v>
      </c>
      <c r="Q120" s="392">
        <f>Données!AD120</f>
        <v>0</v>
      </c>
      <c r="R120" s="393">
        <f t="shared" si="25"/>
        <v>0</v>
      </c>
      <c r="S120" s="394">
        <f t="shared" si="26"/>
        <v>0</v>
      </c>
      <c r="T120" s="393">
        <f t="shared" si="27"/>
        <v>228886.66272590356</v>
      </c>
      <c r="U120" s="395">
        <f t="shared" si="22"/>
        <v>228886.66272590356</v>
      </c>
    </row>
    <row r="121" spans="1:21" x14ac:dyDescent="0.25">
      <c r="A121" s="202">
        <f>Données!A121</f>
        <v>5604</v>
      </c>
      <c r="B121" s="203" t="str">
        <f>Données!B121</f>
        <v>Forel (Lavaux)</v>
      </c>
      <c r="C121" s="387">
        <f>Données!C121</f>
        <v>2088</v>
      </c>
      <c r="D121" s="379">
        <f t="shared" si="18"/>
        <v>1000</v>
      </c>
      <c r="E121" s="379">
        <f t="shared" si="23"/>
        <v>1088</v>
      </c>
      <c r="F121" s="388">
        <f t="shared" si="32"/>
        <v>0</v>
      </c>
      <c r="G121" s="378">
        <f t="shared" si="32"/>
        <v>0</v>
      </c>
      <c r="H121" s="379">
        <f t="shared" si="32"/>
        <v>0</v>
      </c>
      <c r="I121" s="388">
        <f t="shared" si="32"/>
        <v>0</v>
      </c>
      <c r="J121" s="389">
        <f t="shared" si="19"/>
        <v>0</v>
      </c>
      <c r="K121" s="378"/>
      <c r="L121" s="379">
        <f t="shared" si="20"/>
        <v>-537818.9910979229</v>
      </c>
      <c r="M121" s="388">
        <f t="shared" si="24"/>
        <v>1240031.5947735219</v>
      </c>
      <c r="N121" s="390">
        <f t="shared" si="21"/>
        <v>702212.60367559898</v>
      </c>
      <c r="O121" s="381"/>
      <c r="P121" s="391">
        <f>Données!AC121</f>
        <v>0</v>
      </c>
      <c r="Q121" s="392">
        <f>Données!AD121</f>
        <v>0</v>
      </c>
      <c r="R121" s="393">
        <f t="shared" si="25"/>
        <v>0</v>
      </c>
      <c r="S121" s="394">
        <f t="shared" si="26"/>
        <v>0</v>
      </c>
      <c r="T121" s="393">
        <f t="shared" si="27"/>
        <v>211186.63357122696</v>
      </c>
      <c r="U121" s="395">
        <f t="shared" si="22"/>
        <v>211186.63357122696</v>
      </c>
    </row>
    <row r="122" spans="1:21" x14ac:dyDescent="0.25">
      <c r="A122" s="202">
        <f>Données!A122</f>
        <v>5606</v>
      </c>
      <c r="B122" s="203" t="str">
        <f>Données!B122</f>
        <v>Lutry</v>
      </c>
      <c r="C122" s="387">
        <f>Données!C122</f>
        <v>10750</v>
      </c>
      <c r="D122" s="379">
        <f t="shared" si="18"/>
        <v>1000</v>
      </c>
      <c r="E122" s="379">
        <f t="shared" si="23"/>
        <v>2000</v>
      </c>
      <c r="F122" s="388">
        <f t="shared" si="32"/>
        <v>7750</v>
      </c>
      <c r="G122" s="378">
        <f t="shared" si="32"/>
        <v>0</v>
      </c>
      <c r="H122" s="379">
        <f t="shared" si="32"/>
        <v>0</v>
      </c>
      <c r="I122" s="388">
        <f t="shared" si="32"/>
        <v>0</v>
      </c>
      <c r="J122" s="389">
        <f t="shared" si="19"/>
        <v>0</v>
      </c>
      <c r="K122" s="378"/>
      <c r="L122" s="379">
        <f t="shared" si="20"/>
        <v>-6027602.6211671615</v>
      </c>
      <c r="M122" s="388">
        <f t="shared" si="24"/>
        <v>6384262.2815207662</v>
      </c>
      <c r="N122" s="390">
        <f t="shared" si="21"/>
        <v>356659.6603536047</v>
      </c>
      <c r="O122" s="381"/>
      <c r="P122" s="391">
        <f>Données!AC122</f>
        <v>4615125</v>
      </c>
      <c r="Q122" s="392">
        <f>Données!AD122</f>
        <v>-739875.14999999991</v>
      </c>
      <c r="R122" s="393">
        <f t="shared" si="25"/>
        <v>3875249.85</v>
      </c>
      <c r="S122" s="394">
        <f t="shared" si="26"/>
        <v>-2325149.91</v>
      </c>
      <c r="T122" s="393">
        <f t="shared" si="27"/>
        <v>1087287.5052158476</v>
      </c>
      <c r="U122" s="395">
        <f t="shared" si="22"/>
        <v>-1237862.4047841525</v>
      </c>
    </row>
    <row r="123" spans="1:21" x14ac:dyDescent="0.25">
      <c r="A123" s="202">
        <f>Données!A123</f>
        <v>5607</v>
      </c>
      <c r="B123" s="203" t="str">
        <f>Données!B123</f>
        <v>Puidoux</v>
      </c>
      <c r="C123" s="387">
        <f>Données!C123</f>
        <v>2976</v>
      </c>
      <c r="D123" s="379">
        <f t="shared" si="18"/>
        <v>1000</v>
      </c>
      <c r="E123" s="379">
        <f t="shared" si="23"/>
        <v>1976</v>
      </c>
      <c r="F123" s="388">
        <f t="shared" si="32"/>
        <v>0</v>
      </c>
      <c r="G123" s="378">
        <f t="shared" si="32"/>
        <v>0</v>
      </c>
      <c r="H123" s="379">
        <f t="shared" si="32"/>
        <v>0</v>
      </c>
      <c r="I123" s="388">
        <f t="shared" si="32"/>
        <v>0</v>
      </c>
      <c r="J123" s="389">
        <f t="shared" si="19"/>
        <v>0</v>
      </c>
      <c r="K123" s="378"/>
      <c r="L123" s="379">
        <f t="shared" si="20"/>
        <v>-868293.76854599407</v>
      </c>
      <c r="M123" s="388">
        <f t="shared" si="24"/>
        <v>1767401.3534703071</v>
      </c>
      <c r="N123" s="390">
        <f t="shared" si="21"/>
        <v>899107.58492431301</v>
      </c>
      <c r="O123" s="381"/>
      <c r="P123" s="391">
        <f>Données!AC123</f>
        <v>0</v>
      </c>
      <c r="Q123" s="392">
        <f>Données!AD123</f>
        <v>0</v>
      </c>
      <c r="R123" s="393">
        <f t="shared" si="25"/>
        <v>0</v>
      </c>
      <c r="S123" s="394">
        <f t="shared" si="26"/>
        <v>0</v>
      </c>
      <c r="T123" s="393">
        <f t="shared" si="27"/>
        <v>301001.63865324302</v>
      </c>
      <c r="U123" s="395">
        <f t="shared" si="22"/>
        <v>301001.63865324302</v>
      </c>
    </row>
    <row r="124" spans="1:21" x14ac:dyDescent="0.25">
      <c r="A124" s="202">
        <f>Données!A124</f>
        <v>5609</v>
      </c>
      <c r="B124" s="203" t="str">
        <f>Données!B124</f>
        <v>Rivaz</v>
      </c>
      <c r="C124" s="387">
        <f>Données!C124</f>
        <v>329</v>
      </c>
      <c r="D124" s="379">
        <f t="shared" si="18"/>
        <v>329</v>
      </c>
      <c r="E124" s="379">
        <f t="shared" si="23"/>
        <v>0</v>
      </c>
      <c r="F124" s="388">
        <f t="shared" si="32"/>
        <v>0</v>
      </c>
      <c r="G124" s="378">
        <f t="shared" si="32"/>
        <v>0</v>
      </c>
      <c r="H124" s="379">
        <f t="shared" si="32"/>
        <v>0</v>
      </c>
      <c r="I124" s="388">
        <f t="shared" si="32"/>
        <v>0</v>
      </c>
      <c r="J124" s="389">
        <f t="shared" si="19"/>
        <v>0</v>
      </c>
      <c r="K124" s="378"/>
      <c r="L124" s="379">
        <f t="shared" si="20"/>
        <v>-43728.363006923835</v>
      </c>
      <c r="M124" s="388">
        <f t="shared" si="24"/>
        <v>195388.12005770532</v>
      </c>
      <c r="N124" s="390">
        <f t="shared" si="21"/>
        <v>151659.75705078148</v>
      </c>
      <c r="O124" s="381"/>
      <c r="P124" s="391">
        <f>Données!AC124</f>
        <v>0</v>
      </c>
      <c r="Q124" s="392">
        <f>Données!AD124</f>
        <v>0</v>
      </c>
      <c r="R124" s="393">
        <f t="shared" si="25"/>
        <v>0</v>
      </c>
      <c r="S124" s="394">
        <f t="shared" si="26"/>
        <v>0</v>
      </c>
      <c r="T124" s="393">
        <f t="shared" si="27"/>
        <v>33276.054810791989</v>
      </c>
      <c r="U124" s="395">
        <f t="shared" si="22"/>
        <v>33276.054810791989</v>
      </c>
    </row>
    <row r="125" spans="1:21" x14ac:dyDescent="0.25">
      <c r="A125" s="202">
        <f>Données!A125</f>
        <v>5610</v>
      </c>
      <c r="B125" s="203" t="str">
        <f>Données!B125</f>
        <v>St-Saphorin (Lavaux)</v>
      </c>
      <c r="C125" s="387">
        <f>Données!C125</f>
        <v>389</v>
      </c>
      <c r="D125" s="379">
        <f t="shared" si="18"/>
        <v>389</v>
      </c>
      <c r="E125" s="379">
        <f t="shared" si="23"/>
        <v>0</v>
      </c>
      <c r="F125" s="388">
        <f t="shared" si="32"/>
        <v>0</v>
      </c>
      <c r="G125" s="378">
        <f t="shared" si="32"/>
        <v>0</v>
      </c>
      <c r="H125" s="379">
        <f t="shared" si="32"/>
        <v>0</v>
      </c>
      <c r="I125" s="388">
        <f t="shared" si="32"/>
        <v>0</v>
      </c>
      <c r="J125" s="389">
        <f t="shared" si="19"/>
        <v>0</v>
      </c>
      <c r="K125" s="378"/>
      <c r="L125" s="379">
        <f t="shared" si="20"/>
        <v>-51703.140454995053</v>
      </c>
      <c r="M125" s="388">
        <f t="shared" si="24"/>
        <v>231021.21186154214</v>
      </c>
      <c r="N125" s="390">
        <f t="shared" si="21"/>
        <v>179318.0714065471</v>
      </c>
      <c r="O125" s="381"/>
      <c r="P125" s="391">
        <f>Données!AC125</f>
        <v>0</v>
      </c>
      <c r="Q125" s="392">
        <f>Données!AD125</f>
        <v>0</v>
      </c>
      <c r="R125" s="393">
        <f t="shared" si="25"/>
        <v>0</v>
      </c>
      <c r="S125" s="394">
        <f t="shared" si="26"/>
        <v>0</v>
      </c>
      <c r="T125" s="393">
        <f t="shared" si="27"/>
        <v>39344.636235252532</v>
      </c>
      <c r="U125" s="395">
        <f t="shared" si="22"/>
        <v>39344.636235252532</v>
      </c>
    </row>
    <row r="126" spans="1:21" x14ac:dyDescent="0.25">
      <c r="A126" s="202">
        <f>Données!A126</f>
        <v>5611</v>
      </c>
      <c r="B126" s="203" t="str">
        <f>Données!B126</f>
        <v>Savigny</v>
      </c>
      <c r="C126" s="387">
        <f>Données!C126</f>
        <v>3506</v>
      </c>
      <c r="D126" s="379">
        <f t="shared" si="18"/>
        <v>1000</v>
      </c>
      <c r="E126" s="379">
        <f t="shared" si="23"/>
        <v>2000</v>
      </c>
      <c r="F126" s="388">
        <f t="shared" si="32"/>
        <v>506</v>
      </c>
      <c r="G126" s="378">
        <f t="shared" si="32"/>
        <v>0</v>
      </c>
      <c r="H126" s="379">
        <f t="shared" si="32"/>
        <v>0</v>
      </c>
      <c r="I126" s="388">
        <f t="shared" si="32"/>
        <v>0</v>
      </c>
      <c r="J126" s="389">
        <f t="shared" si="19"/>
        <v>0</v>
      </c>
      <c r="K126" s="378"/>
      <c r="L126" s="379">
        <f t="shared" si="20"/>
        <v>-1213495.3016815037</v>
      </c>
      <c r="M126" s="388">
        <f t="shared" si="24"/>
        <v>2082160.3310708657</v>
      </c>
      <c r="N126" s="390">
        <f t="shared" si="21"/>
        <v>868665.02938936208</v>
      </c>
      <c r="O126" s="381"/>
      <c r="P126" s="391">
        <f>Données!AC126</f>
        <v>0</v>
      </c>
      <c r="Q126" s="392">
        <f>Données!AD126</f>
        <v>0</v>
      </c>
      <c r="R126" s="393">
        <f t="shared" si="25"/>
        <v>0</v>
      </c>
      <c r="S126" s="394">
        <f t="shared" si="26"/>
        <v>0</v>
      </c>
      <c r="T126" s="393">
        <f t="shared" si="27"/>
        <v>354607.44123597787</v>
      </c>
      <c r="U126" s="395">
        <f t="shared" si="22"/>
        <v>354607.44123597787</v>
      </c>
    </row>
    <row r="127" spans="1:21" x14ac:dyDescent="0.25">
      <c r="A127" s="202">
        <f>Données!A127</f>
        <v>5613</v>
      </c>
      <c r="B127" s="203" t="str">
        <f>Données!B127</f>
        <v>Bourg-en-Lavaux</v>
      </c>
      <c r="C127" s="387">
        <f>Données!C127</f>
        <v>5465</v>
      </c>
      <c r="D127" s="379">
        <f t="shared" si="18"/>
        <v>1000</v>
      </c>
      <c r="E127" s="379">
        <f t="shared" si="23"/>
        <v>2000</v>
      </c>
      <c r="F127" s="388">
        <f t="shared" si="32"/>
        <v>2465</v>
      </c>
      <c r="G127" s="378">
        <f t="shared" si="32"/>
        <v>0</v>
      </c>
      <c r="H127" s="379">
        <f t="shared" si="32"/>
        <v>0</v>
      </c>
      <c r="I127" s="388">
        <f t="shared" si="32"/>
        <v>0</v>
      </c>
      <c r="J127" s="389">
        <f t="shared" si="19"/>
        <v>0</v>
      </c>
      <c r="K127" s="378"/>
      <c r="L127" s="379">
        <f t="shared" si="20"/>
        <v>-2515377.7200791296</v>
      </c>
      <c r="M127" s="388">
        <f t="shared" si="24"/>
        <v>3245580.7784661385</v>
      </c>
      <c r="N127" s="390">
        <f t="shared" si="21"/>
        <v>730203.05838700896</v>
      </c>
      <c r="O127" s="381"/>
      <c r="P127" s="391">
        <f>Données!AC127</f>
        <v>0</v>
      </c>
      <c r="Q127" s="392">
        <f>Données!AD127</f>
        <v>0</v>
      </c>
      <c r="R127" s="393">
        <f t="shared" si="25"/>
        <v>0</v>
      </c>
      <c r="S127" s="394">
        <f t="shared" si="26"/>
        <v>0</v>
      </c>
      <c r="T127" s="393">
        <f t="shared" si="27"/>
        <v>552746.6247446147</v>
      </c>
      <c r="U127" s="395">
        <f t="shared" si="22"/>
        <v>552746.6247446147</v>
      </c>
    </row>
    <row r="128" spans="1:21" x14ac:dyDescent="0.25">
      <c r="A128" s="202">
        <f>Données!A128</f>
        <v>5621</v>
      </c>
      <c r="B128" s="203" t="str">
        <f>Données!B128</f>
        <v>Aclens</v>
      </c>
      <c r="C128" s="387">
        <f>Données!C128</f>
        <v>587</v>
      </c>
      <c r="D128" s="379">
        <f t="shared" si="18"/>
        <v>587</v>
      </c>
      <c r="E128" s="379">
        <f t="shared" si="23"/>
        <v>0</v>
      </c>
      <c r="F128" s="388">
        <f t="shared" si="32"/>
        <v>0</v>
      </c>
      <c r="G128" s="378">
        <f t="shared" si="32"/>
        <v>0</v>
      </c>
      <c r="H128" s="379">
        <f t="shared" si="32"/>
        <v>0</v>
      </c>
      <c r="I128" s="388">
        <f t="shared" si="32"/>
        <v>0</v>
      </c>
      <c r="J128" s="389">
        <f t="shared" si="19"/>
        <v>0</v>
      </c>
      <c r="K128" s="378"/>
      <c r="L128" s="379">
        <f t="shared" si="20"/>
        <v>-78019.906033630061</v>
      </c>
      <c r="M128" s="388">
        <f t="shared" si="24"/>
        <v>348610.41481420369</v>
      </c>
      <c r="N128" s="390">
        <f t="shared" si="21"/>
        <v>270590.50878057361</v>
      </c>
      <c r="O128" s="381"/>
      <c r="P128" s="391">
        <f>Données!AC128</f>
        <v>0</v>
      </c>
      <c r="Q128" s="392">
        <f>Données!AD128</f>
        <v>0</v>
      </c>
      <c r="R128" s="393">
        <f t="shared" si="25"/>
        <v>0</v>
      </c>
      <c r="S128" s="394">
        <f t="shared" si="26"/>
        <v>0</v>
      </c>
      <c r="T128" s="393">
        <f t="shared" si="27"/>
        <v>59370.954935972331</v>
      </c>
      <c r="U128" s="395">
        <f t="shared" si="22"/>
        <v>59370.954935972331</v>
      </c>
    </row>
    <row r="129" spans="1:21" x14ac:dyDescent="0.25">
      <c r="A129" s="202">
        <f>Données!A129</f>
        <v>5622</v>
      </c>
      <c r="B129" s="203" t="str">
        <f>Données!B129</f>
        <v>Bremblens</v>
      </c>
      <c r="C129" s="387">
        <f>Données!C129</f>
        <v>615</v>
      </c>
      <c r="D129" s="379">
        <f t="shared" si="18"/>
        <v>615</v>
      </c>
      <c r="E129" s="379">
        <f t="shared" si="23"/>
        <v>0</v>
      </c>
      <c r="F129" s="388">
        <f t="shared" ref="F129:I138" si="33">IF($C129&lt;F$4,0,IF($C129&gt;F$5,F$5-F$4,$C129-F$4))</f>
        <v>0</v>
      </c>
      <c r="G129" s="378">
        <f t="shared" si="33"/>
        <v>0</v>
      </c>
      <c r="H129" s="379">
        <f t="shared" si="33"/>
        <v>0</v>
      </c>
      <c r="I129" s="388">
        <f t="shared" si="33"/>
        <v>0</v>
      </c>
      <c r="J129" s="389">
        <f t="shared" si="19"/>
        <v>0</v>
      </c>
      <c r="K129" s="378"/>
      <c r="L129" s="379">
        <f t="shared" si="20"/>
        <v>-81741.46884272997</v>
      </c>
      <c r="M129" s="388">
        <f t="shared" si="24"/>
        <v>365239.19098932756</v>
      </c>
      <c r="N129" s="390">
        <f t="shared" si="21"/>
        <v>283497.72214659757</v>
      </c>
      <c r="O129" s="381"/>
      <c r="P129" s="391">
        <f>Données!AC129</f>
        <v>0</v>
      </c>
      <c r="Q129" s="392">
        <f>Données!AD129</f>
        <v>0</v>
      </c>
      <c r="R129" s="393">
        <f t="shared" si="25"/>
        <v>0</v>
      </c>
      <c r="S129" s="394">
        <f t="shared" si="26"/>
        <v>0</v>
      </c>
      <c r="T129" s="393">
        <f t="shared" si="27"/>
        <v>62202.959600720591</v>
      </c>
      <c r="U129" s="395">
        <f t="shared" si="22"/>
        <v>62202.959600720591</v>
      </c>
    </row>
    <row r="130" spans="1:21" x14ac:dyDescent="0.25">
      <c r="A130" s="202">
        <f>Données!A130</f>
        <v>5623</v>
      </c>
      <c r="B130" s="203" t="str">
        <f>Données!B130</f>
        <v>Buchillon</v>
      </c>
      <c r="C130" s="387">
        <f>Données!C130</f>
        <v>686</v>
      </c>
      <c r="D130" s="379">
        <f t="shared" si="18"/>
        <v>686</v>
      </c>
      <c r="E130" s="379">
        <f t="shared" si="23"/>
        <v>0</v>
      </c>
      <c r="F130" s="388">
        <f t="shared" si="33"/>
        <v>0</v>
      </c>
      <c r="G130" s="378">
        <f t="shared" si="33"/>
        <v>0</v>
      </c>
      <c r="H130" s="379">
        <f t="shared" si="33"/>
        <v>0</v>
      </c>
      <c r="I130" s="388">
        <f t="shared" si="33"/>
        <v>0</v>
      </c>
      <c r="J130" s="389">
        <f t="shared" si="19"/>
        <v>0</v>
      </c>
      <c r="K130" s="378"/>
      <c r="L130" s="379">
        <f t="shared" si="20"/>
        <v>-91178.288822947565</v>
      </c>
      <c r="M130" s="388">
        <f t="shared" si="24"/>
        <v>407405.01629053446</v>
      </c>
      <c r="N130" s="390">
        <f t="shared" si="21"/>
        <v>316226.72746758687</v>
      </c>
      <c r="O130" s="381"/>
      <c r="P130" s="391">
        <f>Données!AC130</f>
        <v>0</v>
      </c>
      <c r="Q130" s="392">
        <f>Données!AD130</f>
        <v>0</v>
      </c>
      <c r="R130" s="393">
        <f t="shared" si="25"/>
        <v>0</v>
      </c>
      <c r="S130" s="394">
        <f t="shared" si="26"/>
        <v>0</v>
      </c>
      <c r="T130" s="393">
        <f t="shared" si="27"/>
        <v>69384.114286332231</v>
      </c>
      <c r="U130" s="395">
        <f t="shared" si="22"/>
        <v>69384.114286332231</v>
      </c>
    </row>
    <row r="131" spans="1:21" x14ac:dyDescent="0.25">
      <c r="A131" s="202">
        <f>Données!A131</f>
        <v>5624</v>
      </c>
      <c r="B131" s="203" t="str">
        <f>Données!B131</f>
        <v>Bussigny</v>
      </c>
      <c r="C131" s="387">
        <f>Données!C131</f>
        <v>11667</v>
      </c>
      <c r="D131" s="379">
        <f t="shared" si="18"/>
        <v>1000</v>
      </c>
      <c r="E131" s="379">
        <f t="shared" si="23"/>
        <v>2000</v>
      </c>
      <c r="F131" s="388">
        <f t="shared" si="33"/>
        <v>8667</v>
      </c>
      <c r="G131" s="378">
        <f t="shared" si="33"/>
        <v>0</v>
      </c>
      <c r="H131" s="379">
        <f t="shared" si="33"/>
        <v>0</v>
      </c>
      <c r="I131" s="388">
        <f t="shared" si="33"/>
        <v>0</v>
      </c>
      <c r="J131" s="389">
        <f t="shared" si="19"/>
        <v>0</v>
      </c>
      <c r="K131" s="378"/>
      <c r="L131" s="379">
        <f t="shared" si="20"/>
        <v>-6637008.5311572701</v>
      </c>
      <c r="M131" s="388">
        <f t="shared" si="24"/>
        <v>6928854.7012560721</v>
      </c>
      <c r="N131" s="390">
        <f t="shared" si="21"/>
        <v>291846.17009880207</v>
      </c>
      <c r="O131" s="381"/>
      <c r="P131" s="391">
        <f>Données!AC131</f>
        <v>3516280.0475454358</v>
      </c>
      <c r="Q131" s="392">
        <f>Données!AD131</f>
        <v>-534943.8124545638</v>
      </c>
      <c r="R131" s="393">
        <f t="shared" si="25"/>
        <v>2981336.2350908723</v>
      </c>
      <c r="S131" s="394">
        <f t="shared" si="26"/>
        <v>-1788801.7410545233</v>
      </c>
      <c r="T131" s="393">
        <f t="shared" si="27"/>
        <v>1180035.6579863529</v>
      </c>
      <c r="U131" s="395">
        <f t="shared" si="22"/>
        <v>-608766.08306817035</v>
      </c>
    </row>
    <row r="132" spans="1:21" x14ac:dyDescent="0.25">
      <c r="A132" s="202">
        <f>Données!A132</f>
        <v>5627</v>
      </c>
      <c r="B132" s="203" t="str">
        <f>Données!B132</f>
        <v>Chavannes-près-Renens</v>
      </c>
      <c r="C132" s="387">
        <f>Données!C132</f>
        <v>9771</v>
      </c>
      <c r="D132" s="379">
        <f t="shared" si="18"/>
        <v>1000</v>
      </c>
      <c r="E132" s="379">
        <f t="shared" si="23"/>
        <v>2000</v>
      </c>
      <c r="F132" s="388">
        <f t="shared" si="33"/>
        <v>6771</v>
      </c>
      <c r="G132" s="378">
        <f t="shared" si="33"/>
        <v>0</v>
      </c>
      <c r="H132" s="379">
        <f t="shared" si="33"/>
        <v>0</v>
      </c>
      <c r="I132" s="388">
        <f t="shared" si="33"/>
        <v>0</v>
      </c>
      <c r="J132" s="389">
        <f t="shared" si="19"/>
        <v>0</v>
      </c>
      <c r="K132" s="378"/>
      <c r="L132" s="379">
        <f t="shared" si="20"/>
        <v>-5376993.6943620183</v>
      </c>
      <c r="M132" s="388">
        <f t="shared" si="24"/>
        <v>5802849.0002548285</v>
      </c>
      <c r="N132" s="390">
        <f t="shared" si="21"/>
        <v>425855.30589281023</v>
      </c>
      <c r="O132" s="381"/>
      <c r="P132" s="391">
        <f>Données!AC132</f>
        <v>3106550</v>
      </c>
      <c r="Q132" s="392">
        <f>Données!AD132</f>
        <v>-439661.95000000019</v>
      </c>
      <c r="R132" s="393">
        <f t="shared" si="25"/>
        <v>2666888.0499999998</v>
      </c>
      <c r="S132" s="394">
        <f t="shared" si="26"/>
        <v>-1600132.8299999998</v>
      </c>
      <c r="T132" s="393">
        <f t="shared" si="27"/>
        <v>988268.48497339978</v>
      </c>
      <c r="U132" s="395">
        <f t="shared" si="22"/>
        <v>-611864.34502660006</v>
      </c>
    </row>
    <row r="133" spans="1:21" x14ac:dyDescent="0.25">
      <c r="A133" s="202">
        <f>Données!A133</f>
        <v>5628</v>
      </c>
      <c r="B133" s="203" t="str">
        <f>Données!B133</f>
        <v>Chigny</v>
      </c>
      <c r="C133" s="387">
        <f>Données!C133</f>
        <v>420</v>
      </c>
      <c r="D133" s="379">
        <f t="shared" si="18"/>
        <v>420</v>
      </c>
      <c r="E133" s="379">
        <f t="shared" si="23"/>
        <v>0</v>
      </c>
      <c r="F133" s="388">
        <f t="shared" si="33"/>
        <v>0</v>
      </c>
      <c r="G133" s="378">
        <f t="shared" si="33"/>
        <v>0</v>
      </c>
      <c r="H133" s="379">
        <f t="shared" si="33"/>
        <v>0</v>
      </c>
      <c r="I133" s="388">
        <f t="shared" si="33"/>
        <v>0</v>
      </c>
      <c r="J133" s="389">
        <f t="shared" si="19"/>
        <v>0</v>
      </c>
      <c r="K133" s="378"/>
      <c r="L133" s="379">
        <f t="shared" si="20"/>
        <v>-55823.44213649851</v>
      </c>
      <c r="M133" s="388">
        <f t="shared" si="24"/>
        <v>249431.64262685785</v>
      </c>
      <c r="N133" s="390">
        <f t="shared" si="21"/>
        <v>193608.20049035933</v>
      </c>
      <c r="O133" s="381"/>
      <c r="P133" s="391">
        <f>Données!AC133</f>
        <v>0</v>
      </c>
      <c r="Q133" s="392">
        <f>Données!AD133</f>
        <v>0</v>
      </c>
      <c r="R133" s="393">
        <f t="shared" si="25"/>
        <v>0</v>
      </c>
      <c r="S133" s="394">
        <f t="shared" si="26"/>
        <v>0</v>
      </c>
      <c r="T133" s="393">
        <f t="shared" si="27"/>
        <v>42480.06997122382</v>
      </c>
      <c r="U133" s="395">
        <f t="shared" si="22"/>
        <v>42480.06997122382</v>
      </c>
    </row>
    <row r="134" spans="1:21" x14ac:dyDescent="0.25">
      <c r="A134" s="202">
        <f>Données!A134</f>
        <v>5629</v>
      </c>
      <c r="B134" s="203" t="str">
        <f>Données!B134</f>
        <v>Clarmont</v>
      </c>
      <c r="C134" s="387">
        <f>Données!C134</f>
        <v>228</v>
      </c>
      <c r="D134" s="379">
        <f t="shared" si="18"/>
        <v>228</v>
      </c>
      <c r="E134" s="379">
        <f t="shared" si="23"/>
        <v>0</v>
      </c>
      <c r="F134" s="388">
        <f t="shared" si="33"/>
        <v>0</v>
      </c>
      <c r="G134" s="378">
        <f t="shared" si="33"/>
        <v>0</v>
      </c>
      <c r="H134" s="379">
        <f t="shared" si="33"/>
        <v>0</v>
      </c>
      <c r="I134" s="388">
        <f t="shared" si="33"/>
        <v>0</v>
      </c>
      <c r="J134" s="389">
        <f t="shared" si="19"/>
        <v>0</v>
      </c>
      <c r="K134" s="378"/>
      <c r="L134" s="379">
        <f t="shared" si="20"/>
        <v>-30304.15430267062</v>
      </c>
      <c r="M134" s="388">
        <f t="shared" si="24"/>
        <v>135405.74885457999</v>
      </c>
      <c r="N134" s="390">
        <f t="shared" si="21"/>
        <v>105101.59455190937</v>
      </c>
      <c r="O134" s="381"/>
      <c r="P134" s="391">
        <f>Données!AC134</f>
        <v>0</v>
      </c>
      <c r="Q134" s="392">
        <f>Données!AD134</f>
        <v>0</v>
      </c>
      <c r="R134" s="393">
        <f t="shared" si="25"/>
        <v>0</v>
      </c>
      <c r="S134" s="394">
        <f t="shared" si="26"/>
        <v>0</v>
      </c>
      <c r="T134" s="393">
        <f t="shared" si="27"/>
        <v>23060.609412950071</v>
      </c>
      <c r="U134" s="395">
        <f t="shared" si="22"/>
        <v>23060.609412950071</v>
      </c>
    </row>
    <row r="135" spans="1:21" x14ac:dyDescent="0.25">
      <c r="A135" s="202">
        <f>Données!A135</f>
        <v>5631</v>
      </c>
      <c r="B135" s="203" t="str">
        <f>Données!B135</f>
        <v>Denens</v>
      </c>
      <c r="C135" s="387">
        <f>Données!C135</f>
        <v>742</v>
      </c>
      <c r="D135" s="379">
        <f t="shared" si="18"/>
        <v>742</v>
      </c>
      <c r="E135" s="379">
        <f t="shared" si="23"/>
        <v>0</v>
      </c>
      <c r="F135" s="388">
        <f t="shared" si="33"/>
        <v>0</v>
      </c>
      <c r="G135" s="378">
        <f t="shared" si="33"/>
        <v>0</v>
      </c>
      <c r="H135" s="379">
        <f t="shared" si="33"/>
        <v>0</v>
      </c>
      <c r="I135" s="388">
        <f t="shared" si="33"/>
        <v>0</v>
      </c>
      <c r="J135" s="389">
        <f t="shared" si="19"/>
        <v>0</v>
      </c>
      <c r="K135" s="378"/>
      <c r="L135" s="379">
        <f t="shared" si="20"/>
        <v>-98621.414441147368</v>
      </c>
      <c r="M135" s="388">
        <f t="shared" si="24"/>
        <v>440662.56864078221</v>
      </c>
      <c r="N135" s="390">
        <f t="shared" si="21"/>
        <v>342041.15419963485</v>
      </c>
      <c r="O135" s="381"/>
      <c r="P135" s="391">
        <f>Données!AC135</f>
        <v>0</v>
      </c>
      <c r="Q135" s="392">
        <f>Données!AD135</f>
        <v>0</v>
      </c>
      <c r="R135" s="393">
        <f t="shared" si="25"/>
        <v>0</v>
      </c>
      <c r="S135" s="394">
        <f t="shared" si="26"/>
        <v>0</v>
      </c>
      <c r="T135" s="393">
        <f t="shared" si="27"/>
        <v>75048.12361582875</v>
      </c>
      <c r="U135" s="395">
        <f t="shared" si="22"/>
        <v>75048.12361582875</v>
      </c>
    </row>
    <row r="136" spans="1:21" x14ac:dyDescent="0.25">
      <c r="A136" s="202">
        <f>Données!A136</f>
        <v>5632</v>
      </c>
      <c r="B136" s="203" t="str">
        <f>Données!B136</f>
        <v>Denges</v>
      </c>
      <c r="C136" s="387">
        <f>Données!C136</f>
        <v>1837</v>
      </c>
      <c r="D136" s="379">
        <f t="shared" ref="D136:D199" si="34">IF(C136&gt;$D$5,$D$5-$D$4,C136)</f>
        <v>1000</v>
      </c>
      <c r="E136" s="379">
        <f t="shared" si="23"/>
        <v>837</v>
      </c>
      <c r="F136" s="388">
        <f t="shared" si="33"/>
        <v>0</v>
      </c>
      <c r="G136" s="378">
        <f t="shared" si="33"/>
        <v>0</v>
      </c>
      <c r="H136" s="379">
        <f t="shared" si="33"/>
        <v>0</v>
      </c>
      <c r="I136" s="388">
        <f t="shared" si="33"/>
        <v>0</v>
      </c>
      <c r="J136" s="389">
        <f t="shared" ref="J136:J199" si="35">IF($C136&lt;J$4,0,$C136-J$4)</f>
        <v>0</v>
      </c>
      <c r="K136" s="378"/>
      <c r="L136" s="379">
        <f t="shared" ref="L136:L199" si="36">-SUMPRODUCT($D$6:$J$6,D136:J136)</f>
        <v>-444407.76458951534</v>
      </c>
      <c r="M136" s="388">
        <f t="shared" si="24"/>
        <v>1090966.4940608044</v>
      </c>
      <c r="N136" s="390">
        <f t="shared" ref="N136:N199" si="37">SUM(L136:M136)</f>
        <v>646558.72947128909</v>
      </c>
      <c r="O136" s="381"/>
      <c r="P136" s="391">
        <f>Données!AC136</f>
        <v>466855.47</v>
      </c>
      <c r="Q136" s="392">
        <f>Données!AD136</f>
        <v>-53788.637889239821</v>
      </c>
      <c r="R136" s="393">
        <f t="shared" si="25"/>
        <v>413066.83211076015</v>
      </c>
      <c r="S136" s="394">
        <f t="shared" si="26"/>
        <v>-247840.09926645609</v>
      </c>
      <c r="T136" s="393">
        <f t="shared" si="27"/>
        <v>185799.7346122337</v>
      </c>
      <c r="U136" s="395">
        <f t="shared" ref="U136:U199" si="38">S136+T136</f>
        <v>-62040.364654222387</v>
      </c>
    </row>
    <row r="137" spans="1:21" x14ac:dyDescent="0.25">
      <c r="A137" s="202">
        <f>Données!A137</f>
        <v>5633</v>
      </c>
      <c r="B137" s="203" t="str">
        <f>Données!B137</f>
        <v>Echandens</v>
      </c>
      <c r="C137" s="387">
        <f>Données!C137</f>
        <v>3004</v>
      </c>
      <c r="D137" s="379">
        <f t="shared" si="34"/>
        <v>1000</v>
      </c>
      <c r="E137" s="379">
        <f t="shared" ref="E137:E200" si="39">IF(C137&lt;$E$4,0,IF(C137&gt;$E$5,$E$5-$E$4,C137-$E$4))</f>
        <v>2000</v>
      </c>
      <c r="F137" s="388">
        <f t="shared" si="33"/>
        <v>4</v>
      </c>
      <c r="G137" s="378">
        <f t="shared" si="33"/>
        <v>0</v>
      </c>
      <c r="H137" s="379">
        <f t="shared" si="33"/>
        <v>0</v>
      </c>
      <c r="I137" s="388">
        <f t="shared" si="33"/>
        <v>0</v>
      </c>
      <c r="J137" s="389">
        <f t="shared" si="35"/>
        <v>0</v>
      </c>
      <c r="K137" s="378"/>
      <c r="L137" s="379">
        <f t="shared" si="36"/>
        <v>-879883.77843719104</v>
      </c>
      <c r="M137" s="388">
        <f t="shared" ref="M137:M200" si="40">(-$L$6)/($C$308)*C137</f>
        <v>1784030.1296454309</v>
      </c>
      <c r="N137" s="390">
        <f t="shared" si="37"/>
        <v>904146.35120823991</v>
      </c>
      <c r="O137" s="381"/>
      <c r="P137" s="391">
        <f>Données!AC137</f>
        <v>898781.2</v>
      </c>
      <c r="Q137" s="392">
        <f>Données!AD137</f>
        <v>-103332.08821082069</v>
      </c>
      <c r="R137" s="393">
        <f t="shared" ref="R137:R200" si="41">SUM(P137:Q137)</f>
        <v>795449.11178917927</v>
      </c>
      <c r="S137" s="394">
        <f t="shared" ref="S137:S200" si="42">-R137*$P$6</f>
        <v>-477269.46707350755</v>
      </c>
      <c r="T137" s="393">
        <f t="shared" ref="T137:T200" si="43">-$S$6/$C$308*C137</f>
        <v>303833.64331799129</v>
      </c>
      <c r="U137" s="395">
        <f t="shared" si="38"/>
        <v>-173435.82375551626</v>
      </c>
    </row>
    <row r="138" spans="1:21" x14ac:dyDescent="0.25">
      <c r="A138" s="202">
        <f>Données!A138</f>
        <v>5634</v>
      </c>
      <c r="B138" s="203" t="str">
        <f>Données!B138</f>
        <v>Echichens</v>
      </c>
      <c r="C138" s="387">
        <f>Données!C138</f>
        <v>3218</v>
      </c>
      <c r="D138" s="379">
        <f t="shared" si="34"/>
        <v>1000</v>
      </c>
      <c r="E138" s="379">
        <f t="shared" si="39"/>
        <v>2000</v>
      </c>
      <c r="F138" s="388">
        <f t="shared" si="33"/>
        <v>218</v>
      </c>
      <c r="G138" s="378">
        <f t="shared" si="33"/>
        <v>0</v>
      </c>
      <c r="H138" s="379">
        <f t="shared" si="33"/>
        <v>0</v>
      </c>
      <c r="I138" s="388">
        <f t="shared" si="33"/>
        <v>0</v>
      </c>
      <c r="J138" s="389">
        <f t="shared" si="35"/>
        <v>0</v>
      </c>
      <c r="K138" s="378"/>
      <c r="L138" s="379">
        <f t="shared" si="36"/>
        <v>-1022100.6429277944</v>
      </c>
      <c r="M138" s="388">
        <f t="shared" si="40"/>
        <v>1911121.490412449</v>
      </c>
      <c r="N138" s="390">
        <f t="shared" si="37"/>
        <v>889020.84748465463</v>
      </c>
      <c r="O138" s="381"/>
      <c r="P138" s="391">
        <f>Données!AC138</f>
        <v>515679.2</v>
      </c>
      <c r="Q138" s="392">
        <f>Données!AD138</f>
        <v>-94830.869261236745</v>
      </c>
      <c r="R138" s="393">
        <f t="shared" si="41"/>
        <v>420848.33073876327</v>
      </c>
      <c r="S138" s="394">
        <f t="shared" si="42"/>
        <v>-252508.99844325794</v>
      </c>
      <c r="T138" s="393">
        <f t="shared" si="43"/>
        <v>325478.25039856724</v>
      </c>
      <c r="U138" s="395">
        <f t="shared" si="38"/>
        <v>72969.251955309301</v>
      </c>
    </row>
    <row r="139" spans="1:21" x14ac:dyDescent="0.25">
      <c r="A139" s="202">
        <f>Données!A139</f>
        <v>5635</v>
      </c>
      <c r="B139" s="203" t="str">
        <f>Données!B139</f>
        <v>Ecublens</v>
      </c>
      <c r="C139" s="387">
        <f>Données!C139</f>
        <v>13391</v>
      </c>
      <c r="D139" s="379">
        <f t="shared" si="34"/>
        <v>1000</v>
      </c>
      <c r="E139" s="379">
        <f t="shared" si="39"/>
        <v>2000</v>
      </c>
      <c r="F139" s="388">
        <f t="shared" ref="F139:I148" si="44">IF($C139&lt;F$4,0,IF($C139&gt;F$5,F$5-F$4,$C139-F$4))</f>
        <v>9000</v>
      </c>
      <c r="G139" s="378">
        <f t="shared" si="44"/>
        <v>1391</v>
      </c>
      <c r="H139" s="379">
        <f t="shared" si="44"/>
        <v>0</v>
      </c>
      <c r="I139" s="388">
        <f t="shared" si="44"/>
        <v>0</v>
      </c>
      <c r="J139" s="389">
        <f t="shared" si="35"/>
        <v>0</v>
      </c>
      <c r="K139" s="378"/>
      <c r="L139" s="379">
        <f t="shared" si="36"/>
        <v>-8337363.996043521</v>
      </c>
      <c r="M139" s="388">
        <f t="shared" si="40"/>
        <v>7952712.2057529846</v>
      </c>
      <c r="N139" s="390">
        <f t="shared" si="37"/>
        <v>-384651.79029053636</v>
      </c>
      <c r="O139" s="381"/>
      <c r="P139" s="391">
        <f>Données!AC139</f>
        <v>5021206.13</v>
      </c>
      <c r="Q139" s="392">
        <f>Données!AD139</f>
        <v>-753893.50999999978</v>
      </c>
      <c r="R139" s="393">
        <f t="shared" si="41"/>
        <v>4267312.62</v>
      </c>
      <c r="S139" s="394">
        <f t="shared" si="42"/>
        <v>-2560387.5720000002</v>
      </c>
      <c r="T139" s="393">
        <f t="shared" si="43"/>
        <v>1354406.2309158526</v>
      </c>
      <c r="U139" s="395">
        <f t="shared" si="38"/>
        <v>-1205981.3410841476</v>
      </c>
    </row>
    <row r="140" spans="1:21" x14ac:dyDescent="0.25">
      <c r="A140" s="202">
        <f>Données!A140</f>
        <v>5636</v>
      </c>
      <c r="B140" s="203" t="str">
        <f>Données!B140</f>
        <v>Etoy</v>
      </c>
      <c r="C140" s="387">
        <f>Données!C140</f>
        <v>2966</v>
      </c>
      <c r="D140" s="379">
        <f t="shared" si="34"/>
        <v>1000</v>
      </c>
      <c r="E140" s="379">
        <f t="shared" si="39"/>
        <v>1966</v>
      </c>
      <c r="F140" s="388">
        <f t="shared" si="44"/>
        <v>0</v>
      </c>
      <c r="G140" s="378">
        <f t="shared" si="44"/>
        <v>0</v>
      </c>
      <c r="H140" s="379">
        <f t="shared" si="44"/>
        <v>0</v>
      </c>
      <c r="I140" s="388">
        <f t="shared" si="44"/>
        <v>0</v>
      </c>
      <c r="J140" s="389">
        <f t="shared" si="35"/>
        <v>0</v>
      </c>
      <c r="K140" s="378"/>
      <c r="L140" s="379">
        <f t="shared" si="36"/>
        <v>-864572.20573689416</v>
      </c>
      <c r="M140" s="388">
        <f t="shared" si="40"/>
        <v>1761462.5048363341</v>
      </c>
      <c r="N140" s="390">
        <f t="shared" si="37"/>
        <v>896890.29909943999</v>
      </c>
      <c r="O140" s="381"/>
      <c r="P140" s="391">
        <f>Données!AC140</f>
        <v>0</v>
      </c>
      <c r="Q140" s="392">
        <f>Données!AD140</f>
        <v>0</v>
      </c>
      <c r="R140" s="393">
        <f t="shared" si="41"/>
        <v>0</v>
      </c>
      <c r="S140" s="394">
        <f t="shared" si="42"/>
        <v>0</v>
      </c>
      <c r="T140" s="393">
        <f t="shared" si="43"/>
        <v>299990.20841583295</v>
      </c>
      <c r="U140" s="395">
        <f t="shared" si="38"/>
        <v>299990.20841583295</v>
      </c>
    </row>
    <row r="141" spans="1:21" x14ac:dyDescent="0.25">
      <c r="A141" s="202">
        <f>Données!A141</f>
        <v>5637</v>
      </c>
      <c r="B141" s="203" t="str">
        <f>Données!B141</f>
        <v>Lavigny</v>
      </c>
      <c r="C141" s="387">
        <f>Données!C141</f>
        <v>1100</v>
      </c>
      <c r="D141" s="379">
        <f t="shared" si="34"/>
        <v>1000</v>
      </c>
      <c r="E141" s="379">
        <f t="shared" si="39"/>
        <v>100</v>
      </c>
      <c r="F141" s="388">
        <f t="shared" si="44"/>
        <v>0</v>
      </c>
      <c r="G141" s="378">
        <f t="shared" si="44"/>
        <v>0</v>
      </c>
      <c r="H141" s="379">
        <f t="shared" si="44"/>
        <v>0</v>
      </c>
      <c r="I141" s="388">
        <f t="shared" si="44"/>
        <v>0</v>
      </c>
      <c r="J141" s="389">
        <f t="shared" si="35"/>
        <v>0</v>
      </c>
      <c r="K141" s="378"/>
      <c r="L141" s="379">
        <f t="shared" si="36"/>
        <v>-170128.58555885265</v>
      </c>
      <c r="M141" s="388">
        <f t="shared" si="40"/>
        <v>653273.34973700868</v>
      </c>
      <c r="N141" s="390">
        <f t="shared" si="37"/>
        <v>483144.76417815604</v>
      </c>
      <c r="O141" s="381"/>
      <c r="P141" s="391">
        <f>Données!AC141</f>
        <v>0</v>
      </c>
      <c r="Q141" s="392">
        <f>Données!AD141</f>
        <v>0</v>
      </c>
      <c r="R141" s="393">
        <f t="shared" si="41"/>
        <v>0</v>
      </c>
      <c r="S141" s="394">
        <f t="shared" si="42"/>
        <v>0</v>
      </c>
      <c r="T141" s="393">
        <f t="shared" si="43"/>
        <v>111257.32611511</v>
      </c>
      <c r="U141" s="395">
        <f t="shared" si="38"/>
        <v>111257.32611511</v>
      </c>
    </row>
    <row r="142" spans="1:21" x14ac:dyDescent="0.25">
      <c r="A142" s="202">
        <f>Données!A142</f>
        <v>5638</v>
      </c>
      <c r="B142" s="203" t="str">
        <f>Données!B142</f>
        <v>Lonay</v>
      </c>
      <c r="C142" s="387">
        <f>Données!C142</f>
        <v>2733</v>
      </c>
      <c r="D142" s="379">
        <f t="shared" si="34"/>
        <v>1000</v>
      </c>
      <c r="E142" s="379">
        <f t="shared" si="39"/>
        <v>1733</v>
      </c>
      <c r="F142" s="388">
        <f t="shared" si="44"/>
        <v>0</v>
      </c>
      <c r="G142" s="378">
        <f t="shared" si="44"/>
        <v>0</v>
      </c>
      <c r="H142" s="379">
        <f t="shared" si="44"/>
        <v>0</v>
      </c>
      <c r="I142" s="388">
        <f t="shared" si="44"/>
        <v>0</v>
      </c>
      <c r="J142" s="389">
        <f t="shared" si="35"/>
        <v>0</v>
      </c>
      <c r="K142" s="378"/>
      <c r="L142" s="379">
        <f t="shared" si="36"/>
        <v>-777859.79228486656</v>
      </c>
      <c r="M142" s="388">
        <f t="shared" si="40"/>
        <v>1623087.3316647678</v>
      </c>
      <c r="N142" s="390">
        <f t="shared" si="37"/>
        <v>845227.53937990125</v>
      </c>
      <c r="O142" s="381"/>
      <c r="P142" s="391">
        <f>Données!AC142</f>
        <v>994414.83</v>
      </c>
      <c r="Q142" s="392">
        <f>Données!AD142</f>
        <v>-146461.98324920575</v>
      </c>
      <c r="R142" s="393">
        <f t="shared" si="41"/>
        <v>847952.84675079421</v>
      </c>
      <c r="S142" s="394">
        <f t="shared" si="42"/>
        <v>-508771.7080504765</v>
      </c>
      <c r="T142" s="393">
        <f t="shared" si="43"/>
        <v>276423.88388417783</v>
      </c>
      <c r="U142" s="395">
        <f t="shared" si="38"/>
        <v>-232347.82416629867</v>
      </c>
    </row>
    <row r="143" spans="1:21" x14ac:dyDescent="0.25">
      <c r="A143" s="202">
        <f>Données!A143</f>
        <v>5639</v>
      </c>
      <c r="B143" s="203" t="str">
        <f>Données!B143</f>
        <v>Lully</v>
      </c>
      <c r="C143" s="387">
        <f>Données!C143</f>
        <v>838</v>
      </c>
      <c r="D143" s="379">
        <f t="shared" si="34"/>
        <v>838</v>
      </c>
      <c r="E143" s="379">
        <f t="shared" si="39"/>
        <v>0</v>
      </c>
      <c r="F143" s="388">
        <f t="shared" si="44"/>
        <v>0</v>
      </c>
      <c r="G143" s="378">
        <f t="shared" si="44"/>
        <v>0</v>
      </c>
      <c r="H143" s="379">
        <f t="shared" si="44"/>
        <v>0</v>
      </c>
      <c r="I143" s="388">
        <f t="shared" si="44"/>
        <v>0</v>
      </c>
      <c r="J143" s="389">
        <f t="shared" si="35"/>
        <v>0</v>
      </c>
      <c r="K143" s="378"/>
      <c r="L143" s="379">
        <f t="shared" si="36"/>
        <v>-111381.05835806132</v>
      </c>
      <c r="M143" s="388">
        <f t="shared" si="40"/>
        <v>497675.51552692114</v>
      </c>
      <c r="N143" s="390">
        <f t="shared" si="37"/>
        <v>386294.45716885984</v>
      </c>
      <c r="O143" s="381"/>
      <c r="P143" s="391">
        <f>Données!AC143</f>
        <v>177201.52</v>
      </c>
      <c r="Q143" s="392">
        <f>Données!AD143</f>
        <v>-36091.098071719171</v>
      </c>
      <c r="R143" s="393">
        <f t="shared" si="41"/>
        <v>141110.42192828082</v>
      </c>
      <c r="S143" s="394">
        <f t="shared" si="42"/>
        <v>-84666.253156968494</v>
      </c>
      <c r="T143" s="393">
        <f t="shared" si="43"/>
        <v>84757.853894965621</v>
      </c>
      <c r="U143" s="395">
        <f t="shared" si="38"/>
        <v>91.600737997126998</v>
      </c>
    </row>
    <row r="144" spans="1:21" x14ac:dyDescent="0.25">
      <c r="A144" s="202">
        <f>Données!A144</f>
        <v>5640</v>
      </c>
      <c r="B144" s="203" t="str">
        <f>Données!B144</f>
        <v>Lussy-sur-Morges</v>
      </c>
      <c r="C144" s="387">
        <f>Données!C144</f>
        <v>719</v>
      </c>
      <c r="D144" s="379">
        <f t="shared" si="34"/>
        <v>719</v>
      </c>
      <c r="E144" s="379">
        <f t="shared" si="39"/>
        <v>0</v>
      </c>
      <c r="F144" s="388">
        <f t="shared" si="44"/>
        <v>0</v>
      </c>
      <c r="G144" s="378">
        <f t="shared" si="44"/>
        <v>0</v>
      </c>
      <c r="H144" s="379">
        <f t="shared" si="44"/>
        <v>0</v>
      </c>
      <c r="I144" s="388">
        <f t="shared" si="44"/>
        <v>0</v>
      </c>
      <c r="J144" s="389">
        <f t="shared" si="35"/>
        <v>0</v>
      </c>
      <c r="K144" s="378"/>
      <c r="L144" s="379">
        <f t="shared" si="36"/>
        <v>-95564.416419386733</v>
      </c>
      <c r="M144" s="388">
        <f t="shared" si="40"/>
        <v>427003.21678264474</v>
      </c>
      <c r="N144" s="390">
        <f t="shared" si="37"/>
        <v>331438.80036325799</v>
      </c>
      <c r="O144" s="381"/>
      <c r="P144" s="391">
        <f>Données!AC144</f>
        <v>204544.8</v>
      </c>
      <c r="Q144" s="392">
        <f>Données!AD144</f>
        <v>-27984.044892096397</v>
      </c>
      <c r="R144" s="393">
        <f t="shared" si="41"/>
        <v>176560.75510790359</v>
      </c>
      <c r="S144" s="394">
        <f t="shared" si="42"/>
        <v>-105936.45306474215</v>
      </c>
      <c r="T144" s="393">
        <f t="shared" si="43"/>
        <v>72721.834069785531</v>
      </c>
      <c r="U144" s="395">
        <f t="shared" si="38"/>
        <v>-33214.618994956618</v>
      </c>
    </row>
    <row r="145" spans="1:21" x14ac:dyDescent="0.25">
      <c r="A145" s="202">
        <f>Données!A145</f>
        <v>5642</v>
      </c>
      <c r="B145" s="203" t="str">
        <f>Données!B145</f>
        <v>Morges</v>
      </c>
      <c r="C145" s="387">
        <f>Données!C145</f>
        <v>17715</v>
      </c>
      <c r="D145" s="379">
        <f t="shared" si="34"/>
        <v>1000</v>
      </c>
      <c r="E145" s="379">
        <f t="shared" si="39"/>
        <v>2000</v>
      </c>
      <c r="F145" s="388">
        <f t="shared" si="44"/>
        <v>9000</v>
      </c>
      <c r="G145" s="378">
        <f t="shared" si="44"/>
        <v>3000</v>
      </c>
      <c r="H145" s="379">
        <f t="shared" si="44"/>
        <v>2715</v>
      </c>
      <c r="I145" s="388">
        <f t="shared" si="44"/>
        <v>0</v>
      </c>
      <c r="J145" s="389">
        <f t="shared" si="35"/>
        <v>0</v>
      </c>
      <c r="K145" s="378"/>
      <c r="L145" s="379">
        <f t="shared" si="36"/>
        <v>-13079432.492581604</v>
      </c>
      <c r="M145" s="388">
        <f t="shared" si="40"/>
        <v>10520670.355082825</v>
      </c>
      <c r="N145" s="390">
        <f t="shared" si="37"/>
        <v>-2558762.1374987792</v>
      </c>
      <c r="O145" s="381"/>
      <c r="P145" s="391">
        <f>Données!AC145</f>
        <v>4858184.07</v>
      </c>
      <c r="Q145" s="392">
        <f>Données!AD145</f>
        <v>-515219.43825009791</v>
      </c>
      <c r="R145" s="393">
        <f t="shared" si="41"/>
        <v>4342964.6317499019</v>
      </c>
      <c r="S145" s="394">
        <f t="shared" si="42"/>
        <v>-2605778.7790499409</v>
      </c>
      <c r="T145" s="393">
        <f t="shared" si="43"/>
        <v>1791748.665571976</v>
      </c>
      <c r="U145" s="395">
        <f t="shared" si="38"/>
        <v>-814030.11347796489</v>
      </c>
    </row>
    <row r="146" spans="1:21" x14ac:dyDescent="0.25">
      <c r="A146" s="202">
        <f>Données!A146</f>
        <v>5643</v>
      </c>
      <c r="B146" s="203" t="str">
        <f>Données!B146</f>
        <v>Préverenges</v>
      </c>
      <c r="C146" s="387">
        <f>Données!C146</f>
        <v>5273</v>
      </c>
      <c r="D146" s="379">
        <f t="shared" si="34"/>
        <v>1000</v>
      </c>
      <c r="E146" s="379">
        <f t="shared" si="39"/>
        <v>2000</v>
      </c>
      <c r="F146" s="388">
        <f t="shared" si="44"/>
        <v>2273</v>
      </c>
      <c r="G146" s="378">
        <f t="shared" si="44"/>
        <v>0</v>
      </c>
      <c r="H146" s="379">
        <f t="shared" si="44"/>
        <v>0</v>
      </c>
      <c r="I146" s="388">
        <f t="shared" si="44"/>
        <v>0</v>
      </c>
      <c r="J146" s="389">
        <f t="shared" si="35"/>
        <v>0</v>
      </c>
      <c r="K146" s="378"/>
      <c r="L146" s="379">
        <f t="shared" si="36"/>
        <v>-2387781.28090999</v>
      </c>
      <c r="M146" s="388">
        <f t="shared" si="40"/>
        <v>3131554.8846938605</v>
      </c>
      <c r="N146" s="390">
        <f t="shared" si="37"/>
        <v>743773.60378387058</v>
      </c>
      <c r="O146" s="381"/>
      <c r="P146" s="391">
        <f>Données!AC146</f>
        <v>1031456.04</v>
      </c>
      <c r="Q146" s="392">
        <f>Données!AD146</f>
        <v>-165597.92865344824</v>
      </c>
      <c r="R146" s="393">
        <f t="shared" si="41"/>
        <v>865858.1113465518</v>
      </c>
      <c r="S146" s="394">
        <f t="shared" si="42"/>
        <v>-519514.86680793104</v>
      </c>
      <c r="T146" s="393">
        <f t="shared" si="43"/>
        <v>533327.16418634087</v>
      </c>
      <c r="U146" s="395">
        <f t="shared" si="38"/>
        <v>13812.297378409829</v>
      </c>
    </row>
    <row r="147" spans="1:21" x14ac:dyDescent="0.25">
      <c r="A147" s="202">
        <f>Données!A147</f>
        <v>5645</v>
      </c>
      <c r="B147" s="203" t="str">
        <f>Données!B147</f>
        <v>Romanel-sur-Morges</v>
      </c>
      <c r="C147" s="387">
        <f>Données!C147</f>
        <v>454</v>
      </c>
      <c r="D147" s="379">
        <f t="shared" si="34"/>
        <v>454</v>
      </c>
      <c r="E147" s="379">
        <f t="shared" si="39"/>
        <v>0</v>
      </c>
      <c r="F147" s="388">
        <f t="shared" si="44"/>
        <v>0</v>
      </c>
      <c r="G147" s="378">
        <f t="shared" si="44"/>
        <v>0</v>
      </c>
      <c r="H147" s="379">
        <f t="shared" si="44"/>
        <v>0</v>
      </c>
      <c r="I147" s="388">
        <f t="shared" si="44"/>
        <v>0</v>
      </c>
      <c r="J147" s="389">
        <f t="shared" si="35"/>
        <v>0</v>
      </c>
      <c r="K147" s="378"/>
      <c r="L147" s="379">
        <f t="shared" si="36"/>
        <v>-60342.482690405537</v>
      </c>
      <c r="M147" s="388">
        <f t="shared" si="40"/>
        <v>269623.72798236541</v>
      </c>
      <c r="N147" s="390">
        <f t="shared" si="37"/>
        <v>209281.24529195987</v>
      </c>
      <c r="O147" s="381"/>
      <c r="P147" s="391">
        <f>Données!AC147</f>
        <v>0</v>
      </c>
      <c r="Q147" s="392">
        <f>Données!AD147</f>
        <v>0</v>
      </c>
      <c r="R147" s="393">
        <f t="shared" si="41"/>
        <v>0</v>
      </c>
      <c r="S147" s="394">
        <f t="shared" si="42"/>
        <v>0</v>
      </c>
      <c r="T147" s="393">
        <f t="shared" si="43"/>
        <v>45918.93277841813</v>
      </c>
      <c r="U147" s="395">
        <f t="shared" si="38"/>
        <v>45918.93277841813</v>
      </c>
    </row>
    <row r="148" spans="1:21" x14ac:dyDescent="0.25">
      <c r="A148" s="202">
        <f>Données!A148</f>
        <v>5646</v>
      </c>
      <c r="B148" s="203" t="str">
        <f>Données!B148</f>
        <v>Saint-Prex</v>
      </c>
      <c r="C148" s="387">
        <f>Données!C148</f>
        <v>5868</v>
      </c>
      <c r="D148" s="379">
        <f t="shared" si="34"/>
        <v>1000</v>
      </c>
      <c r="E148" s="379">
        <f t="shared" si="39"/>
        <v>2000</v>
      </c>
      <c r="F148" s="388">
        <f t="shared" si="44"/>
        <v>2868</v>
      </c>
      <c r="G148" s="378">
        <f t="shared" si="44"/>
        <v>0</v>
      </c>
      <c r="H148" s="379">
        <f t="shared" si="44"/>
        <v>0</v>
      </c>
      <c r="I148" s="388">
        <f t="shared" si="44"/>
        <v>0</v>
      </c>
      <c r="J148" s="389">
        <f t="shared" si="35"/>
        <v>0</v>
      </c>
      <c r="K148" s="378"/>
      <c r="L148" s="379">
        <f t="shared" si="36"/>
        <v>-2783197.3293768549</v>
      </c>
      <c r="M148" s="388">
        <f t="shared" si="40"/>
        <v>3484916.3784152423</v>
      </c>
      <c r="N148" s="390">
        <f t="shared" si="37"/>
        <v>701719.04903838737</v>
      </c>
      <c r="O148" s="381"/>
      <c r="P148" s="391">
        <f>Données!AC148</f>
        <v>0</v>
      </c>
      <c r="Q148" s="392">
        <f>Données!AD148</f>
        <v>0</v>
      </c>
      <c r="R148" s="393">
        <f t="shared" si="41"/>
        <v>0</v>
      </c>
      <c r="S148" s="394">
        <f t="shared" si="42"/>
        <v>0</v>
      </c>
      <c r="T148" s="393">
        <f t="shared" si="43"/>
        <v>593507.2633122413</v>
      </c>
      <c r="U148" s="395">
        <f t="shared" si="38"/>
        <v>593507.2633122413</v>
      </c>
    </row>
    <row r="149" spans="1:21" x14ac:dyDescent="0.25">
      <c r="A149" s="202">
        <f>Données!A149</f>
        <v>5648</v>
      </c>
      <c r="B149" s="203" t="str">
        <f>Données!B149</f>
        <v>Saint-Sulpice</v>
      </c>
      <c r="C149" s="387">
        <f>Données!C149</f>
        <v>5157</v>
      </c>
      <c r="D149" s="379">
        <f t="shared" si="34"/>
        <v>1000</v>
      </c>
      <c r="E149" s="379">
        <f t="shared" si="39"/>
        <v>2000</v>
      </c>
      <c r="F149" s="388">
        <f t="shared" ref="F149:I158" si="45">IF($C149&lt;F$4,0,IF($C149&gt;F$5,F$5-F$4,$C149-F$4))</f>
        <v>2157</v>
      </c>
      <c r="G149" s="378">
        <f t="shared" si="45"/>
        <v>0</v>
      </c>
      <c r="H149" s="379">
        <f t="shared" si="45"/>
        <v>0</v>
      </c>
      <c r="I149" s="388">
        <f t="shared" si="45"/>
        <v>0</v>
      </c>
      <c r="J149" s="389">
        <f t="shared" si="35"/>
        <v>0</v>
      </c>
      <c r="K149" s="378"/>
      <c r="L149" s="379">
        <f t="shared" si="36"/>
        <v>-2310691.765578635</v>
      </c>
      <c r="M149" s="388">
        <f t="shared" si="40"/>
        <v>3062664.2405397762</v>
      </c>
      <c r="N149" s="390">
        <f t="shared" si="37"/>
        <v>751972.47496114112</v>
      </c>
      <c r="O149" s="381"/>
      <c r="P149" s="391">
        <f>Données!AC149</f>
        <v>2280153.9900000002</v>
      </c>
      <c r="Q149" s="392">
        <f>Données!AD149</f>
        <v>-467731.22000000009</v>
      </c>
      <c r="R149" s="393">
        <f t="shared" si="41"/>
        <v>1812422.77</v>
      </c>
      <c r="S149" s="394">
        <f t="shared" si="42"/>
        <v>-1087453.662</v>
      </c>
      <c r="T149" s="393">
        <f t="shared" si="43"/>
        <v>521594.57343238388</v>
      </c>
      <c r="U149" s="395">
        <f t="shared" si="38"/>
        <v>-565859.08856761619</v>
      </c>
    </row>
    <row r="150" spans="1:21" x14ac:dyDescent="0.25">
      <c r="A150" s="202">
        <f>Données!A150</f>
        <v>5649</v>
      </c>
      <c r="B150" s="203" t="str">
        <f>Données!B150</f>
        <v>Tolochenaz</v>
      </c>
      <c r="C150" s="387">
        <f>Données!C150</f>
        <v>1934</v>
      </c>
      <c r="D150" s="379">
        <f t="shared" si="34"/>
        <v>1000</v>
      </c>
      <c r="E150" s="379">
        <f t="shared" si="39"/>
        <v>934</v>
      </c>
      <c r="F150" s="388">
        <f t="shared" si="45"/>
        <v>0</v>
      </c>
      <c r="G150" s="378">
        <f t="shared" si="45"/>
        <v>0</v>
      </c>
      <c r="H150" s="379">
        <f t="shared" si="45"/>
        <v>0</v>
      </c>
      <c r="I150" s="388">
        <f t="shared" si="45"/>
        <v>0</v>
      </c>
      <c r="J150" s="389">
        <f t="shared" si="35"/>
        <v>0</v>
      </c>
      <c r="K150" s="378"/>
      <c r="L150" s="379">
        <f t="shared" si="36"/>
        <v>-480506.92383778439</v>
      </c>
      <c r="M150" s="388">
        <f t="shared" si="40"/>
        <v>1148573.3258103407</v>
      </c>
      <c r="N150" s="390">
        <f t="shared" si="37"/>
        <v>668066.40197255625</v>
      </c>
      <c r="O150" s="381"/>
      <c r="P150" s="391">
        <f>Données!AC150</f>
        <v>752378.52</v>
      </c>
      <c r="Q150" s="392">
        <f>Données!AD150</f>
        <v>-92416.592614202062</v>
      </c>
      <c r="R150" s="393">
        <f t="shared" si="41"/>
        <v>659961.92738579796</v>
      </c>
      <c r="S150" s="394">
        <f t="shared" si="42"/>
        <v>-395977.15643147874</v>
      </c>
      <c r="T150" s="393">
        <f t="shared" si="43"/>
        <v>195610.60791511158</v>
      </c>
      <c r="U150" s="395">
        <f t="shared" si="38"/>
        <v>-200366.54851636715</v>
      </c>
    </row>
    <row r="151" spans="1:21" x14ac:dyDescent="0.25">
      <c r="A151" s="202">
        <f>Données!A151</f>
        <v>5650</v>
      </c>
      <c r="B151" s="203" t="str">
        <f>Données!B151</f>
        <v>Vaux-sur-Morges</v>
      </c>
      <c r="C151" s="387">
        <f>Données!C151</f>
        <v>185</v>
      </c>
      <c r="D151" s="379">
        <f t="shared" si="34"/>
        <v>185</v>
      </c>
      <c r="E151" s="379">
        <f t="shared" si="39"/>
        <v>0</v>
      </c>
      <c r="F151" s="388">
        <f t="shared" si="45"/>
        <v>0</v>
      </c>
      <c r="G151" s="378">
        <f t="shared" si="45"/>
        <v>0</v>
      </c>
      <c r="H151" s="379">
        <f t="shared" si="45"/>
        <v>0</v>
      </c>
      <c r="I151" s="388">
        <f t="shared" si="45"/>
        <v>0</v>
      </c>
      <c r="J151" s="389">
        <f t="shared" si="35"/>
        <v>0</v>
      </c>
      <c r="K151" s="378"/>
      <c r="L151" s="379">
        <f t="shared" si="36"/>
        <v>-24588.897131552916</v>
      </c>
      <c r="M151" s="388">
        <f t="shared" si="40"/>
        <v>109868.69972849691</v>
      </c>
      <c r="N151" s="390">
        <f t="shared" si="37"/>
        <v>85279.802596943991</v>
      </c>
      <c r="O151" s="381"/>
      <c r="P151" s="391">
        <f>Données!AC151</f>
        <v>0</v>
      </c>
      <c r="Q151" s="392">
        <f>Données!AD151</f>
        <v>0</v>
      </c>
      <c r="R151" s="393">
        <f t="shared" si="41"/>
        <v>0</v>
      </c>
      <c r="S151" s="394">
        <f t="shared" si="42"/>
        <v>0</v>
      </c>
      <c r="T151" s="393">
        <f t="shared" si="43"/>
        <v>18711.459392086683</v>
      </c>
      <c r="U151" s="395">
        <f t="shared" si="38"/>
        <v>18711.459392086683</v>
      </c>
    </row>
    <row r="152" spans="1:21" x14ac:dyDescent="0.25">
      <c r="A152" s="202">
        <f>Données!A152</f>
        <v>5651</v>
      </c>
      <c r="B152" s="203" t="str">
        <f>Données!B152</f>
        <v>Villars-Sainte-Croix</v>
      </c>
      <c r="C152" s="387">
        <f>Données!C152</f>
        <v>955</v>
      </c>
      <c r="D152" s="379">
        <f t="shared" si="34"/>
        <v>955</v>
      </c>
      <c r="E152" s="379">
        <f t="shared" si="39"/>
        <v>0</v>
      </c>
      <c r="F152" s="388">
        <f t="shared" si="45"/>
        <v>0</v>
      </c>
      <c r="G152" s="378">
        <f t="shared" si="45"/>
        <v>0</v>
      </c>
      <c r="H152" s="379">
        <f t="shared" si="45"/>
        <v>0</v>
      </c>
      <c r="I152" s="388">
        <f t="shared" si="45"/>
        <v>0</v>
      </c>
      <c r="J152" s="389">
        <f t="shared" si="35"/>
        <v>0</v>
      </c>
      <c r="K152" s="378"/>
      <c r="L152" s="379">
        <f t="shared" si="36"/>
        <v>-126931.8743818002</v>
      </c>
      <c r="M152" s="388">
        <f t="shared" si="40"/>
        <v>567160.04454440298</v>
      </c>
      <c r="N152" s="390">
        <f t="shared" si="37"/>
        <v>440228.17016260279</v>
      </c>
      <c r="O152" s="381"/>
      <c r="P152" s="391">
        <f>Données!AC152</f>
        <v>454850</v>
      </c>
      <c r="Q152" s="392">
        <f>Données!AD152</f>
        <v>-103089.03999999998</v>
      </c>
      <c r="R152" s="393">
        <f t="shared" si="41"/>
        <v>351760.96</v>
      </c>
      <c r="S152" s="394">
        <f t="shared" si="42"/>
        <v>-211056.576</v>
      </c>
      <c r="T152" s="393">
        <f t="shared" si="43"/>
        <v>96591.587672663678</v>
      </c>
      <c r="U152" s="395">
        <f t="shared" si="38"/>
        <v>-114464.98832733632</v>
      </c>
    </row>
    <row r="153" spans="1:21" x14ac:dyDescent="0.25">
      <c r="A153" s="202">
        <f>Données!A153</f>
        <v>5652</v>
      </c>
      <c r="B153" s="203" t="str">
        <f>Données!B153</f>
        <v>Villars-sous-Yens</v>
      </c>
      <c r="C153" s="387">
        <f>Données!C153</f>
        <v>602</v>
      </c>
      <c r="D153" s="379">
        <f t="shared" si="34"/>
        <v>602</v>
      </c>
      <c r="E153" s="379">
        <f t="shared" si="39"/>
        <v>0</v>
      </c>
      <c r="F153" s="388">
        <f t="shared" si="45"/>
        <v>0</v>
      </c>
      <c r="G153" s="378">
        <f t="shared" si="45"/>
        <v>0</v>
      </c>
      <c r="H153" s="379">
        <f t="shared" si="45"/>
        <v>0</v>
      </c>
      <c r="I153" s="388">
        <f t="shared" si="45"/>
        <v>0</v>
      </c>
      <c r="J153" s="389">
        <f t="shared" si="35"/>
        <v>0</v>
      </c>
      <c r="K153" s="378"/>
      <c r="L153" s="379">
        <f t="shared" si="36"/>
        <v>-80013.600395647867</v>
      </c>
      <c r="M153" s="388">
        <f t="shared" si="40"/>
        <v>357518.6877651629</v>
      </c>
      <c r="N153" s="390">
        <f t="shared" si="37"/>
        <v>277505.08736951504</v>
      </c>
      <c r="O153" s="381"/>
      <c r="P153" s="391">
        <f>Données!AC153</f>
        <v>0</v>
      </c>
      <c r="Q153" s="392">
        <f>Données!AD153</f>
        <v>0</v>
      </c>
      <c r="R153" s="393">
        <f t="shared" si="41"/>
        <v>0</v>
      </c>
      <c r="S153" s="394">
        <f t="shared" si="42"/>
        <v>0</v>
      </c>
      <c r="T153" s="393">
        <f t="shared" si="43"/>
        <v>60888.100292087474</v>
      </c>
      <c r="U153" s="395">
        <f t="shared" si="38"/>
        <v>60888.100292087474</v>
      </c>
    </row>
    <row r="154" spans="1:21" x14ac:dyDescent="0.25">
      <c r="A154" s="202">
        <f>Données!A154</f>
        <v>5653</v>
      </c>
      <c r="B154" s="203" t="str">
        <f>Données!B154</f>
        <v>Vufflens-le-Château</v>
      </c>
      <c r="C154" s="387">
        <f>Données!C154</f>
        <v>838</v>
      </c>
      <c r="D154" s="379">
        <f t="shared" si="34"/>
        <v>838</v>
      </c>
      <c r="E154" s="379">
        <f t="shared" si="39"/>
        <v>0</v>
      </c>
      <c r="F154" s="388">
        <f t="shared" si="45"/>
        <v>0</v>
      </c>
      <c r="G154" s="378">
        <f t="shared" si="45"/>
        <v>0</v>
      </c>
      <c r="H154" s="379">
        <f t="shared" si="45"/>
        <v>0</v>
      </c>
      <c r="I154" s="388">
        <f t="shared" si="45"/>
        <v>0</v>
      </c>
      <c r="J154" s="389">
        <f t="shared" si="35"/>
        <v>0</v>
      </c>
      <c r="K154" s="378"/>
      <c r="L154" s="379">
        <f t="shared" si="36"/>
        <v>-111381.05835806132</v>
      </c>
      <c r="M154" s="388">
        <f t="shared" si="40"/>
        <v>497675.51552692114</v>
      </c>
      <c r="N154" s="390">
        <f t="shared" si="37"/>
        <v>386294.45716885984</v>
      </c>
      <c r="O154" s="381"/>
      <c r="P154" s="391">
        <f>Données!AC154</f>
        <v>0</v>
      </c>
      <c r="Q154" s="392">
        <f>Données!AD154</f>
        <v>0</v>
      </c>
      <c r="R154" s="393">
        <f t="shared" si="41"/>
        <v>0</v>
      </c>
      <c r="S154" s="394">
        <f t="shared" si="42"/>
        <v>0</v>
      </c>
      <c r="T154" s="393">
        <f t="shared" si="43"/>
        <v>84757.853894965621</v>
      </c>
      <c r="U154" s="395">
        <f t="shared" si="38"/>
        <v>84757.853894965621</v>
      </c>
    </row>
    <row r="155" spans="1:21" x14ac:dyDescent="0.25">
      <c r="A155" s="202">
        <f>Données!A155</f>
        <v>5654</v>
      </c>
      <c r="B155" s="203" t="str">
        <f>Données!B155</f>
        <v>Vullierens</v>
      </c>
      <c r="C155" s="387">
        <f>Données!C155</f>
        <v>548</v>
      </c>
      <c r="D155" s="379">
        <f t="shared" si="34"/>
        <v>548</v>
      </c>
      <c r="E155" s="379">
        <f t="shared" si="39"/>
        <v>0</v>
      </c>
      <c r="F155" s="388">
        <f t="shared" si="45"/>
        <v>0</v>
      </c>
      <c r="G155" s="378">
        <f t="shared" si="45"/>
        <v>0</v>
      </c>
      <c r="H155" s="379">
        <f t="shared" si="45"/>
        <v>0</v>
      </c>
      <c r="I155" s="388">
        <f t="shared" si="45"/>
        <v>0</v>
      </c>
      <c r="J155" s="389">
        <f t="shared" si="35"/>
        <v>0</v>
      </c>
      <c r="K155" s="378"/>
      <c r="L155" s="379">
        <f t="shared" si="36"/>
        <v>-72836.300692383767</v>
      </c>
      <c r="M155" s="388">
        <f t="shared" si="40"/>
        <v>325448.90514170978</v>
      </c>
      <c r="N155" s="390">
        <f t="shared" si="37"/>
        <v>252612.604449326</v>
      </c>
      <c r="O155" s="381"/>
      <c r="P155" s="391">
        <f>Données!AC155</f>
        <v>0</v>
      </c>
      <c r="Q155" s="392">
        <f>Données!AD155</f>
        <v>0</v>
      </c>
      <c r="R155" s="393">
        <f t="shared" si="41"/>
        <v>0</v>
      </c>
      <c r="S155" s="394">
        <f t="shared" si="42"/>
        <v>0</v>
      </c>
      <c r="T155" s="393">
        <f t="shared" si="43"/>
        <v>55426.377010072982</v>
      </c>
      <c r="U155" s="395">
        <f t="shared" si="38"/>
        <v>55426.377010072982</v>
      </c>
    </row>
    <row r="156" spans="1:21" x14ac:dyDescent="0.25">
      <c r="A156" s="202">
        <f>Données!A156</f>
        <v>5655</v>
      </c>
      <c r="B156" s="203" t="str">
        <f>Données!B156</f>
        <v>Yens</v>
      </c>
      <c r="C156" s="387">
        <f>Données!C156</f>
        <v>1502</v>
      </c>
      <c r="D156" s="379">
        <f t="shared" si="34"/>
        <v>1000</v>
      </c>
      <c r="E156" s="379">
        <f t="shared" si="39"/>
        <v>502</v>
      </c>
      <c r="F156" s="388">
        <f t="shared" si="45"/>
        <v>0</v>
      </c>
      <c r="G156" s="378">
        <f t="shared" si="45"/>
        <v>0</v>
      </c>
      <c r="H156" s="379">
        <f t="shared" si="45"/>
        <v>0</v>
      </c>
      <c r="I156" s="388">
        <f t="shared" si="45"/>
        <v>0</v>
      </c>
      <c r="J156" s="389">
        <f t="shared" si="35"/>
        <v>0</v>
      </c>
      <c r="K156" s="378"/>
      <c r="L156" s="379">
        <f t="shared" si="36"/>
        <v>-319735.41048466868</v>
      </c>
      <c r="M156" s="388">
        <f t="shared" si="40"/>
        <v>892015.06482271547</v>
      </c>
      <c r="N156" s="390">
        <f t="shared" si="37"/>
        <v>572279.65433804679</v>
      </c>
      <c r="O156" s="381"/>
      <c r="P156" s="391">
        <f>Données!AC156</f>
        <v>0</v>
      </c>
      <c r="Q156" s="392">
        <f>Données!AD156</f>
        <v>0</v>
      </c>
      <c r="R156" s="393">
        <f t="shared" si="41"/>
        <v>0</v>
      </c>
      <c r="S156" s="394">
        <f t="shared" si="42"/>
        <v>0</v>
      </c>
      <c r="T156" s="393">
        <f t="shared" si="43"/>
        <v>151916.82165899564</v>
      </c>
      <c r="U156" s="395">
        <f t="shared" si="38"/>
        <v>151916.82165899564</v>
      </c>
    </row>
    <row r="157" spans="1:21" x14ac:dyDescent="0.25">
      <c r="A157" s="202">
        <f>Données!A157</f>
        <v>5656</v>
      </c>
      <c r="B157" s="203" t="str">
        <f>Données!B157</f>
        <v>Hautemorges</v>
      </c>
      <c r="C157" s="387">
        <f>Données!C157</f>
        <v>4387</v>
      </c>
      <c r="D157" s="379">
        <f t="shared" si="34"/>
        <v>1000</v>
      </c>
      <c r="E157" s="379">
        <f t="shared" si="39"/>
        <v>2000</v>
      </c>
      <c r="F157" s="388">
        <f t="shared" si="45"/>
        <v>1387</v>
      </c>
      <c r="G157" s="378">
        <f t="shared" si="45"/>
        <v>0</v>
      </c>
      <c r="H157" s="379">
        <f t="shared" si="45"/>
        <v>0</v>
      </c>
      <c r="I157" s="388">
        <f t="shared" si="45"/>
        <v>0</v>
      </c>
      <c r="J157" s="389">
        <f t="shared" si="35"/>
        <v>0</v>
      </c>
      <c r="K157" s="378"/>
      <c r="L157" s="379">
        <f t="shared" si="36"/>
        <v>-1798976.8793273987</v>
      </c>
      <c r="M157" s="388">
        <f t="shared" si="40"/>
        <v>2605372.89572387</v>
      </c>
      <c r="N157" s="390">
        <f t="shared" si="37"/>
        <v>806396.0163964713</v>
      </c>
      <c r="O157" s="381"/>
      <c r="P157" s="391">
        <f>Données!AC157</f>
        <v>0</v>
      </c>
      <c r="Q157" s="392">
        <f>Données!AD157</f>
        <v>0</v>
      </c>
      <c r="R157" s="393">
        <f t="shared" si="41"/>
        <v>0</v>
      </c>
      <c r="S157" s="394">
        <f t="shared" si="42"/>
        <v>0</v>
      </c>
      <c r="T157" s="393">
        <f t="shared" si="43"/>
        <v>443714.44515180687</v>
      </c>
      <c r="U157" s="395">
        <f t="shared" si="38"/>
        <v>443714.44515180687</v>
      </c>
    </row>
    <row r="158" spans="1:21" x14ac:dyDescent="0.25">
      <c r="A158" s="202">
        <f>Données!A158</f>
        <v>5661</v>
      </c>
      <c r="B158" s="203" t="str">
        <f>Données!B158</f>
        <v>Boulens</v>
      </c>
      <c r="C158" s="387">
        <f>Données!C158</f>
        <v>368</v>
      </c>
      <c r="D158" s="379">
        <f t="shared" si="34"/>
        <v>368</v>
      </c>
      <c r="E158" s="379">
        <f t="shared" si="39"/>
        <v>0</v>
      </c>
      <c r="F158" s="388">
        <f t="shared" si="45"/>
        <v>0</v>
      </c>
      <c r="G158" s="378">
        <f t="shared" si="45"/>
        <v>0</v>
      </c>
      <c r="H158" s="379">
        <f t="shared" si="45"/>
        <v>0</v>
      </c>
      <c r="I158" s="388">
        <f t="shared" si="45"/>
        <v>0</v>
      </c>
      <c r="J158" s="389">
        <f t="shared" si="35"/>
        <v>0</v>
      </c>
      <c r="K158" s="378"/>
      <c r="L158" s="379">
        <f t="shared" si="36"/>
        <v>-48911.968348170129</v>
      </c>
      <c r="M158" s="388">
        <f t="shared" si="40"/>
        <v>218549.62973019926</v>
      </c>
      <c r="N158" s="390">
        <f t="shared" si="37"/>
        <v>169637.66138202912</v>
      </c>
      <c r="O158" s="381"/>
      <c r="P158" s="391">
        <f>Données!AC158</f>
        <v>0</v>
      </c>
      <c r="Q158" s="392">
        <f>Données!AD158</f>
        <v>0</v>
      </c>
      <c r="R158" s="393">
        <f t="shared" si="41"/>
        <v>0</v>
      </c>
      <c r="S158" s="394">
        <f t="shared" si="42"/>
        <v>0</v>
      </c>
      <c r="T158" s="393">
        <f t="shared" si="43"/>
        <v>37220.632736691347</v>
      </c>
      <c r="U158" s="395">
        <f t="shared" si="38"/>
        <v>37220.632736691347</v>
      </c>
    </row>
    <row r="159" spans="1:21" x14ac:dyDescent="0.25">
      <c r="A159" s="202">
        <f>Données!A159</f>
        <v>5663</v>
      </c>
      <c r="B159" s="203" t="str">
        <f>Données!B159</f>
        <v>Bussy-sur-Moudon</v>
      </c>
      <c r="C159" s="387">
        <f>Données!C159</f>
        <v>262</v>
      </c>
      <c r="D159" s="379">
        <f t="shared" si="34"/>
        <v>262</v>
      </c>
      <c r="E159" s="379">
        <f t="shared" si="39"/>
        <v>0</v>
      </c>
      <c r="F159" s="388">
        <f t="shared" ref="F159:I168" si="46">IF($C159&lt;F$4,0,IF($C159&gt;F$5,F$5-F$4,$C159-F$4))</f>
        <v>0</v>
      </c>
      <c r="G159" s="378">
        <f t="shared" si="46"/>
        <v>0</v>
      </c>
      <c r="H159" s="379">
        <f t="shared" si="46"/>
        <v>0</v>
      </c>
      <c r="I159" s="388">
        <f t="shared" si="46"/>
        <v>0</v>
      </c>
      <c r="J159" s="389">
        <f t="shared" si="35"/>
        <v>0</v>
      </c>
      <c r="K159" s="378"/>
      <c r="L159" s="379">
        <f t="shared" si="36"/>
        <v>-34823.19485657764</v>
      </c>
      <c r="M159" s="388">
        <f t="shared" si="40"/>
        <v>155597.83421008752</v>
      </c>
      <c r="N159" s="390">
        <f t="shared" si="37"/>
        <v>120774.63935350988</v>
      </c>
      <c r="O159" s="381"/>
      <c r="P159" s="391">
        <f>Données!AC159</f>
        <v>0</v>
      </c>
      <c r="Q159" s="392">
        <f>Données!AD159</f>
        <v>0</v>
      </c>
      <c r="R159" s="393">
        <f t="shared" si="41"/>
        <v>0</v>
      </c>
      <c r="S159" s="394">
        <f t="shared" si="42"/>
        <v>0</v>
      </c>
      <c r="T159" s="393">
        <f t="shared" si="43"/>
        <v>26499.47222014438</v>
      </c>
      <c r="U159" s="395">
        <f t="shared" si="38"/>
        <v>26499.47222014438</v>
      </c>
    </row>
    <row r="160" spans="1:21" x14ac:dyDescent="0.25">
      <c r="A160" s="202">
        <f>Données!A160</f>
        <v>5665</v>
      </c>
      <c r="B160" s="203" t="str">
        <f>Données!B160</f>
        <v>Chavannes-sur-Moudon</v>
      </c>
      <c r="C160" s="387">
        <f>Données!C160</f>
        <v>229</v>
      </c>
      <c r="D160" s="379">
        <f t="shared" si="34"/>
        <v>229</v>
      </c>
      <c r="E160" s="379">
        <f t="shared" si="39"/>
        <v>0</v>
      </c>
      <c r="F160" s="388">
        <f t="shared" si="46"/>
        <v>0</v>
      </c>
      <c r="G160" s="378">
        <f t="shared" si="46"/>
        <v>0</v>
      </c>
      <c r="H160" s="379">
        <f t="shared" si="46"/>
        <v>0</v>
      </c>
      <c r="I160" s="388">
        <f t="shared" si="46"/>
        <v>0</v>
      </c>
      <c r="J160" s="389">
        <f t="shared" si="35"/>
        <v>0</v>
      </c>
      <c r="K160" s="378"/>
      <c r="L160" s="379">
        <f t="shared" si="36"/>
        <v>-30437.067260138476</v>
      </c>
      <c r="M160" s="388">
        <f t="shared" si="40"/>
        <v>135999.63371797727</v>
      </c>
      <c r="N160" s="390">
        <f t="shared" si="37"/>
        <v>105562.5664578388</v>
      </c>
      <c r="O160" s="381"/>
      <c r="P160" s="391">
        <f>Données!AC160</f>
        <v>0</v>
      </c>
      <c r="Q160" s="392">
        <f>Données!AD160</f>
        <v>0</v>
      </c>
      <c r="R160" s="393">
        <f t="shared" si="41"/>
        <v>0</v>
      </c>
      <c r="S160" s="394">
        <f t="shared" si="42"/>
        <v>0</v>
      </c>
      <c r="T160" s="393">
        <f t="shared" si="43"/>
        <v>23161.75243669108</v>
      </c>
      <c r="U160" s="395">
        <f t="shared" si="38"/>
        <v>23161.75243669108</v>
      </c>
    </row>
    <row r="161" spans="1:21" x14ac:dyDescent="0.25">
      <c r="A161" s="202">
        <f>Données!A161</f>
        <v>5669</v>
      </c>
      <c r="B161" s="203" t="str">
        <f>Données!B161</f>
        <v>Curtilles</v>
      </c>
      <c r="C161" s="387">
        <f>Données!C161</f>
        <v>308</v>
      </c>
      <c r="D161" s="379">
        <f t="shared" si="34"/>
        <v>308</v>
      </c>
      <c r="E161" s="379">
        <f t="shared" si="39"/>
        <v>0</v>
      </c>
      <c r="F161" s="388">
        <f t="shared" si="46"/>
        <v>0</v>
      </c>
      <c r="G161" s="378">
        <f t="shared" si="46"/>
        <v>0</v>
      </c>
      <c r="H161" s="379">
        <f t="shared" si="46"/>
        <v>0</v>
      </c>
      <c r="I161" s="388">
        <f t="shared" si="46"/>
        <v>0</v>
      </c>
      <c r="J161" s="389">
        <f t="shared" si="35"/>
        <v>0</v>
      </c>
      <c r="K161" s="378"/>
      <c r="L161" s="379">
        <f t="shared" si="36"/>
        <v>-40937.190900098911</v>
      </c>
      <c r="M161" s="388">
        <f t="shared" si="40"/>
        <v>182916.53792636242</v>
      </c>
      <c r="N161" s="390">
        <f t="shared" si="37"/>
        <v>141979.34702626351</v>
      </c>
      <c r="O161" s="381"/>
      <c r="P161" s="391">
        <f>Données!AC161</f>
        <v>0</v>
      </c>
      <c r="Q161" s="392">
        <f>Données!AD161</f>
        <v>0</v>
      </c>
      <c r="R161" s="393">
        <f t="shared" si="41"/>
        <v>0</v>
      </c>
      <c r="S161" s="394">
        <f t="shared" si="42"/>
        <v>0</v>
      </c>
      <c r="T161" s="393">
        <f t="shared" si="43"/>
        <v>31152.0513122308</v>
      </c>
      <c r="U161" s="395">
        <f t="shared" si="38"/>
        <v>31152.0513122308</v>
      </c>
    </row>
    <row r="162" spans="1:21" x14ac:dyDescent="0.25">
      <c r="A162" s="202">
        <f>Données!A162</f>
        <v>5671</v>
      </c>
      <c r="B162" s="203" t="str">
        <f>Données!B162</f>
        <v>Dompierre</v>
      </c>
      <c r="C162" s="387">
        <f>Données!C162</f>
        <v>240</v>
      </c>
      <c r="D162" s="379">
        <f t="shared" si="34"/>
        <v>240</v>
      </c>
      <c r="E162" s="379">
        <f t="shared" si="39"/>
        <v>0</v>
      </c>
      <c r="F162" s="388">
        <f t="shared" si="46"/>
        <v>0</v>
      </c>
      <c r="G162" s="378">
        <f t="shared" si="46"/>
        <v>0</v>
      </c>
      <c r="H162" s="379">
        <f t="shared" si="46"/>
        <v>0</v>
      </c>
      <c r="I162" s="388">
        <f t="shared" si="46"/>
        <v>0</v>
      </c>
      <c r="J162" s="389">
        <f t="shared" si="35"/>
        <v>0</v>
      </c>
      <c r="K162" s="378"/>
      <c r="L162" s="379">
        <f t="shared" si="36"/>
        <v>-31899.109792284864</v>
      </c>
      <c r="M162" s="388">
        <f t="shared" si="40"/>
        <v>142532.36721534733</v>
      </c>
      <c r="N162" s="390">
        <f t="shared" si="37"/>
        <v>110633.25742306246</v>
      </c>
      <c r="O162" s="381"/>
      <c r="P162" s="391">
        <f>Données!AC162</f>
        <v>0</v>
      </c>
      <c r="Q162" s="392">
        <f>Données!AD162</f>
        <v>0</v>
      </c>
      <c r="R162" s="393">
        <f t="shared" si="41"/>
        <v>0</v>
      </c>
      <c r="S162" s="394">
        <f t="shared" si="42"/>
        <v>0</v>
      </c>
      <c r="T162" s="393">
        <f t="shared" si="43"/>
        <v>24274.325697842181</v>
      </c>
      <c r="U162" s="395">
        <f t="shared" si="38"/>
        <v>24274.325697842181</v>
      </c>
    </row>
    <row r="163" spans="1:21" x14ac:dyDescent="0.25">
      <c r="A163" s="202">
        <f>Données!A163</f>
        <v>5673</v>
      </c>
      <c r="B163" s="203" t="str">
        <f>Données!B163</f>
        <v>Hermenches</v>
      </c>
      <c r="C163" s="387">
        <f>Données!C163</f>
        <v>373</v>
      </c>
      <c r="D163" s="379">
        <f t="shared" si="34"/>
        <v>373</v>
      </c>
      <c r="E163" s="379">
        <f t="shared" si="39"/>
        <v>0</v>
      </c>
      <c r="F163" s="388">
        <f t="shared" si="46"/>
        <v>0</v>
      </c>
      <c r="G163" s="378">
        <f t="shared" si="46"/>
        <v>0</v>
      </c>
      <c r="H163" s="379">
        <f t="shared" si="46"/>
        <v>0</v>
      </c>
      <c r="I163" s="388">
        <f t="shared" si="46"/>
        <v>0</v>
      </c>
      <c r="J163" s="389">
        <f t="shared" si="35"/>
        <v>0</v>
      </c>
      <c r="K163" s="378"/>
      <c r="L163" s="379">
        <f t="shared" si="36"/>
        <v>-49576.533135509395</v>
      </c>
      <c r="M163" s="388">
        <f t="shared" si="40"/>
        <v>221519.05404718567</v>
      </c>
      <c r="N163" s="390">
        <f t="shared" si="37"/>
        <v>171942.52091167629</v>
      </c>
      <c r="O163" s="381"/>
      <c r="P163" s="391">
        <f>Données!AC163</f>
        <v>0</v>
      </c>
      <c r="Q163" s="392">
        <f>Données!AD163</f>
        <v>0</v>
      </c>
      <c r="R163" s="393">
        <f t="shared" si="41"/>
        <v>0</v>
      </c>
      <c r="S163" s="394">
        <f t="shared" si="42"/>
        <v>0</v>
      </c>
      <c r="T163" s="393">
        <f t="shared" si="43"/>
        <v>37726.347855396387</v>
      </c>
      <c r="U163" s="395">
        <f t="shared" si="38"/>
        <v>37726.347855396387</v>
      </c>
    </row>
    <row r="164" spans="1:21" x14ac:dyDescent="0.25">
      <c r="A164" s="202">
        <f>Données!A164</f>
        <v>5674</v>
      </c>
      <c r="B164" s="203" t="str">
        <f>Données!B164</f>
        <v>Lovatens</v>
      </c>
      <c r="C164" s="387">
        <f>Données!C164</f>
        <v>146</v>
      </c>
      <c r="D164" s="379">
        <f t="shared" si="34"/>
        <v>146</v>
      </c>
      <c r="E164" s="379">
        <f t="shared" si="39"/>
        <v>0</v>
      </c>
      <c r="F164" s="388">
        <f t="shared" si="46"/>
        <v>0</v>
      </c>
      <c r="G164" s="378">
        <f t="shared" si="46"/>
        <v>0</v>
      </c>
      <c r="H164" s="379">
        <f t="shared" si="46"/>
        <v>0</v>
      </c>
      <c r="I164" s="388">
        <f t="shared" si="46"/>
        <v>0</v>
      </c>
      <c r="J164" s="389">
        <f t="shared" si="35"/>
        <v>0</v>
      </c>
      <c r="K164" s="378"/>
      <c r="L164" s="379">
        <f t="shared" si="36"/>
        <v>-19405.291790306626</v>
      </c>
      <c r="M164" s="388">
        <f t="shared" si="40"/>
        <v>86707.190056002961</v>
      </c>
      <c r="N164" s="390">
        <f t="shared" si="37"/>
        <v>67301.898265696334</v>
      </c>
      <c r="O164" s="381"/>
      <c r="P164" s="391">
        <f>Données!AC164</f>
        <v>0</v>
      </c>
      <c r="Q164" s="392">
        <f>Données!AD164</f>
        <v>0</v>
      </c>
      <c r="R164" s="393">
        <f t="shared" si="41"/>
        <v>0</v>
      </c>
      <c r="S164" s="394">
        <f t="shared" si="42"/>
        <v>0</v>
      </c>
      <c r="T164" s="393">
        <f t="shared" si="43"/>
        <v>14766.881466187328</v>
      </c>
      <c r="U164" s="395">
        <f t="shared" si="38"/>
        <v>14766.881466187328</v>
      </c>
    </row>
    <row r="165" spans="1:21" x14ac:dyDescent="0.25">
      <c r="A165" s="202">
        <f>Données!A165</f>
        <v>5675</v>
      </c>
      <c r="B165" s="203" t="str">
        <f>Données!B165</f>
        <v>Lucens</v>
      </c>
      <c r="C165" s="387">
        <f>Données!C165</f>
        <v>4734</v>
      </c>
      <c r="D165" s="379">
        <f t="shared" si="34"/>
        <v>1000</v>
      </c>
      <c r="E165" s="379">
        <f t="shared" si="39"/>
        <v>2000</v>
      </c>
      <c r="F165" s="388">
        <f t="shared" si="46"/>
        <v>1734</v>
      </c>
      <c r="G165" s="378">
        <f t="shared" si="46"/>
        <v>0</v>
      </c>
      <c r="H165" s="379">
        <f t="shared" si="46"/>
        <v>0</v>
      </c>
      <c r="I165" s="388">
        <f t="shared" si="46"/>
        <v>0</v>
      </c>
      <c r="J165" s="389">
        <f t="shared" si="35"/>
        <v>0</v>
      </c>
      <c r="K165" s="378"/>
      <c r="L165" s="379">
        <f t="shared" si="36"/>
        <v>-2029580.8605341248</v>
      </c>
      <c r="M165" s="388">
        <f t="shared" si="40"/>
        <v>2811450.9433227261</v>
      </c>
      <c r="N165" s="390">
        <f t="shared" si="37"/>
        <v>781870.08278860128</v>
      </c>
      <c r="O165" s="381"/>
      <c r="P165" s="391">
        <f>Données!AC165</f>
        <v>0</v>
      </c>
      <c r="Q165" s="392">
        <f>Données!AD165</f>
        <v>0</v>
      </c>
      <c r="R165" s="393">
        <f t="shared" si="41"/>
        <v>0</v>
      </c>
      <c r="S165" s="394">
        <f t="shared" si="42"/>
        <v>0</v>
      </c>
      <c r="T165" s="393">
        <f t="shared" si="43"/>
        <v>478811.07438993704</v>
      </c>
      <c r="U165" s="395">
        <f t="shared" si="38"/>
        <v>478811.07438993704</v>
      </c>
    </row>
    <row r="166" spans="1:21" x14ac:dyDescent="0.25">
      <c r="A166" s="202">
        <f>Données!A166</f>
        <v>5678</v>
      </c>
      <c r="B166" s="203" t="str">
        <f>Données!B166</f>
        <v>Moudon</v>
      </c>
      <c r="C166" s="387">
        <f>Données!C166</f>
        <v>6651</v>
      </c>
      <c r="D166" s="379">
        <f t="shared" si="34"/>
        <v>1000</v>
      </c>
      <c r="E166" s="379">
        <f t="shared" si="39"/>
        <v>2000</v>
      </c>
      <c r="F166" s="388">
        <f t="shared" si="46"/>
        <v>3651</v>
      </c>
      <c r="G166" s="378">
        <f t="shared" si="46"/>
        <v>0</v>
      </c>
      <c r="H166" s="379">
        <f t="shared" si="46"/>
        <v>0</v>
      </c>
      <c r="I166" s="388">
        <f t="shared" si="46"/>
        <v>0</v>
      </c>
      <c r="J166" s="389">
        <f t="shared" si="35"/>
        <v>0</v>
      </c>
      <c r="K166" s="378"/>
      <c r="L166" s="379">
        <f t="shared" si="36"/>
        <v>-3303551.5578635014</v>
      </c>
      <c r="M166" s="388">
        <f t="shared" si="40"/>
        <v>3949928.2264553132</v>
      </c>
      <c r="N166" s="390">
        <f t="shared" si="37"/>
        <v>646376.66859181179</v>
      </c>
      <c r="O166" s="381"/>
      <c r="P166" s="391">
        <f>Données!AC166</f>
        <v>0</v>
      </c>
      <c r="Q166" s="392">
        <f>Données!AD166</f>
        <v>0</v>
      </c>
      <c r="R166" s="393">
        <f t="shared" si="41"/>
        <v>0</v>
      </c>
      <c r="S166" s="394">
        <f t="shared" si="42"/>
        <v>0</v>
      </c>
      <c r="T166" s="393">
        <f t="shared" si="43"/>
        <v>672702.25090145145</v>
      </c>
      <c r="U166" s="395">
        <f t="shared" si="38"/>
        <v>672702.25090145145</v>
      </c>
    </row>
    <row r="167" spans="1:21" x14ac:dyDescent="0.25">
      <c r="A167" s="202">
        <f>Données!A167</f>
        <v>5680</v>
      </c>
      <c r="B167" s="203" t="str">
        <f>Données!B167</f>
        <v>Ogens</v>
      </c>
      <c r="C167" s="387">
        <f>Données!C167</f>
        <v>341</v>
      </c>
      <c r="D167" s="379">
        <f t="shared" si="34"/>
        <v>341</v>
      </c>
      <c r="E167" s="379">
        <f t="shared" si="39"/>
        <v>0</v>
      </c>
      <c r="F167" s="388">
        <f t="shared" si="46"/>
        <v>0</v>
      </c>
      <c r="G167" s="378">
        <f t="shared" si="46"/>
        <v>0</v>
      </c>
      <c r="H167" s="379">
        <f t="shared" si="46"/>
        <v>0</v>
      </c>
      <c r="I167" s="388">
        <f t="shared" si="46"/>
        <v>0</v>
      </c>
      <c r="J167" s="389">
        <f t="shared" si="35"/>
        <v>0</v>
      </c>
      <c r="K167" s="378"/>
      <c r="L167" s="379">
        <f t="shared" si="36"/>
        <v>-45323.318496538079</v>
      </c>
      <c r="M167" s="388">
        <f t="shared" si="40"/>
        <v>202514.73841847267</v>
      </c>
      <c r="N167" s="390">
        <f t="shared" si="37"/>
        <v>157191.4199219346</v>
      </c>
      <c r="O167" s="381"/>
      <c r="P167" s="391">
        <f>Données!AC167</f>
        <v>0</v>
      </c>
      <c r="Q167" s="392">
        <f>Données!AD167</f>
        <v>0</v>
      </c>
      <c r="R167" s="393">
        <f t="shared" si="41"/>
        <v>0</v>
      </c>
      <c r="S167" s="394">
        <f t="shared" si="42"/>
        <v>0</v>
      </c>
      <c r="T167" s="393">
        <f t="shared" si="43"/>
        <v>34489.771095684097</v>
      </c>
      <c r="U167" s="395">
        <f t="shared" si="38"/>
        <v>34489.771095684097</v>
      </c>
    </row>
    <row r="168" spans="1:21" x14ac:dyDescent="0.25">
      <c r="A168" s="202">
        <f>Données!A168</f>
        <v>5683</v>
      </c>
      <c r="B168" s="203" t="str">
        <f>Données!B168</f>
        <v>Prévonloup</v>
      </c>
      <c r="C168" s="387">
        <f>Données!C168</f>
        <v>231</v>
      </c>
      <c r="D168" s="379">
        <f t="shared" si="34"/>
        <v>231</v>
      </c>
      <c r="E168" s="379">
        <f t="shared" si="39"/>
        <v>0</v>
      </c>
      <c r="F168" s="388">
        <f t="shared" si="46"/>
        <v>0</v>
      </c>
      <c r="G168" s="378">
        <f t="shared" si="46"/>
        <v>0</v>
      </c>
      <c r="H168" s="379">
        <f t="shared" si="46"/>
        <v>0</v>
      </c>
      <c r="I168" s="388">
        <f t="shared" si="46"/>
        <v>0</v>
      </c>
      <c r="J168" s="389">
        <f t="shared" si="35"/>
        <v>0</v>
      </c>
      <c r="K168" s="378"/>
      <c r="L168" s="379">
        <f t="shared" si="36"/>
        <v>-30702.893175074183</v>
      </c>
      <c r="M168" s="388">
        <f t="shared" si="40"/>
        <v>137187.4034447718</v>
      </c>
      <c r="N168" s="390">
        <f t="shared" si="37"/>
        <v>106484.51026969761</v>
      </c>
      <c r="O168" s="381"/>
      <c r="P168" s="391">
        <f>Données!AC168</f>
        <v>0</v>
      </c>
      <c r="Q168" s="392">
        <f>Données!AD168</f>
        <v>0</v>
      </c>
      <c r="R168" s="393">
        <f t="shared" si="41"/>
        <v>0</v>
      </c>
      <c r="S168" s="394">
        <f t="shared" si="42"/>
        <v>0</v>
      </c>
      <c r="T168" s="393">
        <f t="shared" si="43"/>
        <v>23364.038484173099</v>
      </c>
      <c r="U168" s="395">
        <f t="shared" si="38"/>
        <v>23364.038484173099</v>
      </c>
    </row>
    <row r="169" spans="1:21" x14ac:dyDescent="0.25">
      <c r="A169" s="202">
        <f>Données!A169</f>
        <v>5684</v>
      </c>
      <c r="B169" s="203" t="str">
        <f>Données!B169</f>
        <v>Rossenges</v>
      </c>
      <c r="C169" s="387">
        <f>Données!C169</f>
        <v>90</v>
      </c>
      <c r="D169" s="379">
        <f t="shared" si="34"/>
        <v>90</v>
      </c>
      <c r="E169" s="379">
        <f t="shared" si="39"/>
        <v>0</v>
      </c>
      <c r="F169" s="388">
        <f t="shared" ref="F169:I178" si="47">IF($C169&lt;F$4,0,IF($C169&gt;F$5,F$5-F$4,$C169-F$4))</f>
        <v>0</v>
      </c>
      <c r="G169" s="378">
        <f t="shared" si="47"/>
        <v>0</v>
      </c>
      <c r="H169" s="379">
        <f t="shared" si="47"/>
        <v>0</v>
      </c>
      <c r="I169" s="388">
        <f t="shared" si="47"/>
        <v>0</v>
      </c>
      <c r="J169" s="389">
        <f t="shared" si="35"/>
        <v>0</v>
      </c>
      <c r="K169" s="378"/>
      <c r="L169" s="379">
        <f t="shared" si="36"/>
        <v>-11962.166172106825</v>
      </c>
      <c r="M169" s="388">
        <f t="shared" si="40"/>
        <v>53449.637705755253</v>
      </c>
      <c r="N169" s="390">
        <f t="shared" si="37"/>
        <v>41487.47153364843</v>
      </c>
      <c r="O169" s="381"/>
      <c r="P169" s="391">
        <f>Données!AC169</f>
        <v>0</v>
      </c>
      <c r="Q169" s="392">
        <f>Données!AD169</f>
        <v>0</v>
      </c>
      <c r="R169" s="393">
        <f t="shared" si="41"/>
        <v>0</v>
      </c>
      <c r="S169" s="394">
        <f t="shared" si="42"/>
        <v>0</v>
      </c>
      <c r="T169" s="393">
        <f t="shared" si="43"/>
        <v>9102.8721366908176</v>
      </c>
      <c r="U169" s="395">
        <f t="shared" si="38"/>
        <v>9102.8721366908176</v>
      </c>
    </row>
    <row r="170" spans="1:21" x14ac:dyDescent="0.25">
      <c r="A170" s="202">
        <f>Données!A170</f>
        <v>5688</v>
      </c>
      <c r="B170" s="203" t="str">
        <f>Données!B170</f>
        <v>Syens</v>
      </c>
      <c r="C170" s="387">
        <f>Données!C170</f>
        <v>151</v>
      </c>
      <c r="D170" s="379">
        <f t="shared" si="34"/>
        <v>151</v>
      </c>
      <c r="E170" s="379">
        <f t="shared" si="39"/>
        <v>0</v>
      </c>
      <c r="F170" s="388">
        <f t="shared" si="47"/>
        <v>0</v>
      </c>
      <c r="G170" s="378">
        <f t="shared" si="47"/>
        <v>0</v>
      </c>
      <c r="H170" s="379">
        <f t="shared" si="47"/>
        <v>0</v>
      </c>
      <c r="I170" s="388">
        <f t="shared" si="47"/>
        <v>0</v>
      </c>
      <c r="J170" s="389">
        <f t="shared" si="35"/>
        <v>0</v>
      </c>
      <c r="K170" s="378"/>
      <c r="L170" s="379">
        <f t="shared" si="36"/>
        <v>-20069.856577645893</v>
      </c>
      <c r="M170" s="388">
        <f t="shared" si="40"/>
        <v>89676.614372989367</v>
      </c>
      <c r="N170" s="390">
        <f t="shared" si="37"/>
        <v>69606.757795343467</v>
      </c>
      <c r="O170" s="381"/>
      <c r="P170" s="391">
        <f>Données!AC170</f>
        <v>0</v>
      </c>
      <c r="Q170" s="392">
        <f>Données!AD170</f>
        <v>0</v>
      </c>
      <c r="R170" s="393">
        <f t="shared" si="41"/>
        <v>0</v>
      </c>
      <c r="S170" s="394">
        <f t="shared" si="42"/>
        <v>0</v>
      </c>
      <c r="T170" s="393">
        <f t="shared" si="43"/>
        <v>15272.596584892372</v>
      </c>
      <c r="U170" s="395">
        <f t="shared" si="38"/>
        <v>15272.596584892372</v>
      </c>
    </row>
    <row r="171" spans="1:21" x14ac:dyDescent="0.25">
      <c r="A171" s="202">
        <f>Données!A171</f>
        <v>5690</v>
      </c>
      <c r="B171" s="203" t="str">
        <f>Données!B171</f>
        <v>Villars-le-Comte</v>
      </c>
      <c r="C171" s="387">
        <f>Données!C171</f>
        <v>132</v>
      </c>
      <c r="D171" s="379">
        <f t="shared" si="34"/>
        <v>132</v>
      </c>
      <c r="E171" s="379">
        <f t="shared" si="39"/>
        <v>0</v>
      </c>
      <c r="F171" s="388">
        <f t="shared" si="47"/>
        <v>0</v>
      </c>
      <c r="G171" s="378">
        <f t="shared" si="47"/>
        <v>0</v>
      </c>
      <c r="H171" s="379">
        <f t="shared" si="47"/>
        <v>0</v>
      </c>
      <c r="I171" s="388">
        <f t="shared" si="47"/>
        <v>0</v>
      </c>
      <c r="J171" s="389">
        <f t="shared" si="35"/>
        <v>0</v>
      </c>
      <c r="K171" s="378"/>
      <c r="L171" s="379">
        <f t="shared" si="36"/>
        <v>-17544.510385756676</v>
      </c>
      <c r="M171" s="388">
        <f t="shared" si="40"/>
        <v>78392.801968441039</v>
      </c>
      <c r="N171" s="390">
        <f t="shared" si="37"/>
        <v>60848.291582684367</v>
      </c>
      <c r="O171" s="381"/>
      <c r="P171" s="391">
        <f>Données!AC171</f>
        <v>0</v>
      </c>
      <c r="Q171" s="392">
        <f>Données!AD171</f>
        <v>0</v>
      </c>
      <c r="R171" s="393">
        <f t="shared" si="41"/>
        <v>0</v>
      </c>
      <c r="S171" s="394">
        <f t="shared" si="42"/>
        <v>0</v>
      </c>
      <c r="T171" s="393">
        <f t="shared" si="43"/>
        <v>13350.8791338132</v>
      </c>
      <c r="U171" s="395">
        <f t="shared" si="38"/>
        <v>13350.8791338132</v>
      </c>
    </row>
    <row r="172" spans="1:21" x14ac:dyDescent="0.25">
      <c r="A172" s="202">
        <f>Données!A172</f>
        <v>5692</v>
      </c>
      <c r="B172" s="203" t="str">
        <f>Données!B172</f>
        <v>Vucherens</v>
      </c>
      <c r="C172" s="387">
        <f>Données!C172</f>
        <v>622</v>
      </c>
      <c r="D172" s="379">
        <f t="shared" si="34"/>
        <v>622</v>
      </c>
      <c r="E172" s="379">
        <f t="shared" si="39"/>
        <v>0</v>
      </c>
      <c r="F172" s="388">
        <f t="shared" si="47"/>
        <v>0</v>
      </c>
      <c r="G172" s="378">
        <f t="shared" si="47"/>
        <v>0</v>
      </c>
      <c r="H172" s="379">
        <f t="shared" si="47"/>
        <v>0</v>
      </c>
      <c r="I172" s="388">
        <f t="shared" si="47"/>
        <v>0</v>
      </c>
      <c r="J172" s="389">
        <f t="shared" si="35"/>
        <v>0</v>
      </c>
      <c r="K172" s="378"/>
      <c r="L172" s="379">
        <f t="shared" si="36"/>
        <v>-82671.859545004947</v>
      </c>
      <c r="M172" s="388">
        <f t="shared" si="40"/>
        <v>369396.38503310853</v>
      </c>
      <c r="N172" s="390">
        <f t="shared" si="37"/>
        <v>286724.52548810357</v>
      </c>
      <c r="O172" s="381"/>
      <c r="P172" s="391">
        <f>Données!AC172</f>
        <v>0</v>
      </c>
      <c r="Q172" s="392">
        <f>Données!AD172</f>
        <v>0</v>
      </c>
      <c r="R172" s="393">
        <f t="shared" si="41"/>
        <v>0</v>
      </c>
      <c r="S172" s="394">
        <f t="shared" si="42"/>
        <v>0</v>
      </c>
      <c r="T172" s="393">
        <f t="shared" si="43"/>
        <v>62910.96076690765</v>
      </c>
      <c r="U172" s="395">
        <f t="shared" si="38"/>
        <v>62910.96076690765</v>
      </c>
    </row>
    <row r="173" spans="1:21" x14ac:dyDescent="0.25">
      <c r="A173" s="202">
        <f>Données!A173</f>
        <v>5693</v>
      </c>
      <c r="B173" s="203" t="str">
        <f>Données!B173</f>
        <v>Montanaire</v>
      </c>
      <c r="C173" s="387">
        <f>Données!C173</f>
        <v>2861</v>
      </c>
      <c r="D173" s="379">
        <f t="shared" si="34"/>
        <v>1000</v>
      </c>
      <c r="E173" s="379">
        <f t="shared" si="39"/>
        <v>1861</v>
      </c>
      <c r="F173" s="388">
        <f t="shared" si="47"/>
        <v>0</v>
      </c>
      <c r="G173" s="378">
        <f t="shared" si="47"/>
        <v>0</v>
      </c>
      <c r="H173" s="379">
        <f t="shared" si="47"/>
        <v>0</v>
      </c>
      <c r="I173" s="388">
        <f t="shared" si="47"/>
        <v>0</v>
      </c>
      <c r="J173" s="389">
        <f t="shared" si="35"/>
        <v>0</v>
      </c>
      <c r="K173" s="378"/>
      <c r="L173" s="379">
        <f t="shared" si="36"/>
        <v>-825495.79624134535</v>
      </c>
      <c r="M173" s="388">
        <f t="shared" si="40"/>
        <v>1699104.5941796198</v>
      </c>
      <c r="N173" s="390">
        <f t="shared" si="37"/>
        <v>873608.79793827445</v>
      </c>
      <c r="O173" s="381"/>
      <c r="P173" s="391">
        <f>Données!AC173</f>
        <v>0</v>
      </c>
      <c r="Q173" s="392">
        <f>Données!AD173</f>
        <v>0</v>
      </c>
      <c r="R173" s="393">
        <f t="shared" si="41"/>
        <v>0</v>
      </c>
      <c r="S173" s="394">
        <f t="shared" si="42"/>
        <v>0</v>
      </c>
      <c r="T173" s="393">
        <f t="shared" si="43"/>
        <v>289370.190923027</v>
      </c>
      <c r="U173" s="395">
        <f t="shared" si="38"/>
        <v>289370.190923027</v>
      </c>
    </row>
    <row r="174" spans="1:21" x14ac:dyDescent="0.25">
      <c r="A174" s="202">
        <f>Données!A174</f>
        <v>5701</v>
      </c>
      <c r="B174" s="203" t="str">
        <f>Données!B174</f>
        <v>Arnex-sur-Nyon</v>
      </c>
      <c r="C174" s="387">
        <f>Données!C174</f>
        <v>267</v>
      </c>
      <c r="D174" s="379">
        <f t="shared" si="34"/>
        <v>267</v>
      </c>
      <c r="E174" s="379">
        <f t="shared" si="39"/>
        <v>0</v>
      </c>
      <c r="F174" s="388">
        <f t="shared" si="47"/>
        <v>0</v>
      </c>
      <c r="G174" s="378">
        <f t="shared" si="47"/>
        <v>0</v>
      </c>
      <c r="H174" s="379">
        <f t="shared" si="47"/>
        <v>0</v>
      </c>
      <c r="I174" s="388">
        <f t="shared" si="47"/>
        <v>0</v>
      </c>
      <c r="J174" s="389">
        <f t="shared" si="35"/>
        <v>0</v>
      </c>
      <c r="K174" s="378"/>
      <c r="L174" s="379">
        <f t="shared" si="36"/>
        <v>-35487.759643916914</v>
      </c>
      <c r="M174" s="388">
        <f t="shared" si="40"/>
        <v>158567.25852707392</v>
      </c>
      <c r="N174" s="390">
        <f t="shared" si="37"/>
        <v>123079.49888315701</v>
      </c>
      <c r="O174" s="381"/>
      <c r="P174" s="391">
        <f>Données!AC174</f>
        <v>0</v>
      </c>
      <c r="Q174" s="392">
        <f>Données!AD174</f>
        <v>0</v>
      </c>
      <c r="R174" s="393">
        <f t="shared" si="41"/>
        <v>0</v>
      </c>
      <c r="S174" s="394">
        <f t="shared" si="42"/>
        <v>0</v>
      </c>
      <c r="T174" s="393">
        <f t="shared" si="43"/>
        <v>27005.187338849428</v>
      </c>
      <c r="U174" s="395">
        <f t="shared" si="38"/>
        <v>27005.187338849428</v>
      </c>
    </row>
    <row r="175" spans="1:21" x14ac:dyDescent="0.25">
      <c r="A175" s="202">
        <f>Données!A175</f>
        <v>5702</v>
      </c>
      <c r="B175" s="203" t="str">
        <f>Données!B175</f>
        <v>Arzier-Le Muids</v>
      </c>
      <c r="C175" s="387">
        <f>Données!C175</f>
        <v>2968</v>
      </c>
      <c r="D175" s="379">
        <f t="shared" si="34"/>
        <v>1000</v>
      </c>
      <c r="E175" s="379">
        <f t="shared" si="39"/>
        <v>1968</v>
      </c>
      <c r="F175" s="388">
        <f t="shared" si="47"/>
        <v>0</v>
      </c>
      <c r="G175" s="378">
        <f t="shared" si="47"/>
        <v>0</v>
      </c>
      <c r="H175" s="379">
        <f t="shared" si="47"/>
        <v>0</v>
      </c>
      <c r="I175" s="388">
        <f t="shared" si="47"/>
        <v>0</v>
      </c>
      <c r="J175" s="389">
        <f t="shared" si="35"/>
        <v>0</v>
      </c>
      <c r="K175" s="378"/>
      <c r="L175" s="379">
        <f t="shared" si="36"/>
        <v>-865316.51829871419</v>
      </c>
      <c r="M175" s="388">
        <f t="shared" si="40"/>
        <v>1762650.2745631288</v>
      </c>
      <c r="N175" s="390">
        <f t="shared" si="37"/>
        <v>897333.75626441464</v>
      </c>
      <c r="O175" s="381"/>
      <c r="P175" s="391">
        <f>Données!AC175</f>
        <v>0</v>
      </c>
      <c r="Q175" s="392">
        <f>Données!AD175</f>
        <v>0</v>
      </c>
      <c r="R175" s="393">
        <f t="shared" si="41"/>
        <v>0</v>
      </c>
      <c r="S175" s="394">
        <f t="shared" si="42"/>
        <v>0</v>
      </c>
      <c r="T175" s="393">
        <f t="shared" si="43"/>
        <v>300192.494463315</v>
      </c>
      <c r="U175" s="395">
        <f t="shared" si="38"/>
        <v>300192.494463315</v>
      </c>
    </row>
    <row r="176" spans="1:21" x14ac:dyDescent="0.25">
      <c r="A176" s="202">
        <f>Données!A176</f>
        <v>5703</v>
      </c>
      <c r="B176" s="203" t="str">
        <f>Données!B176</f>
        <v>Bassins</v>
      </c>
      <c r="C176" s="387">
        <f>Données!C176</f>
        <v>1484</v>
      </c>
      <c r="D176" s="379">
        <f t="shared" si="34"/>
        <v>1000</v>
      </c>
      <c r="E176" s="379">
        <f t="shared" si="39"/>
        <v>484</v>
      </c>
      <c r="F176" s="388">
        <f t="shared" si="47"/>
        <v>0</v>
      </c>
      <c r="G176" s="378">
        <f t="shared" si="47"/>
        <v>0</v>
      </c>
      <c r="H176" s="379">
        <f t="shared" si="47"/>
        <v>0</v>
      </c>
      <c r="I176" s="388">
        <f t="shared" si="47"/>
        <v>0</v>
      </c>
      <c r="J176" s="389">
        <f t="shared" si="35"/>
        <v>0</v>
      </c>
      <c r="K176" s="378"/>
      <c r="L176" s="379">
        <f t="shared" si="36"/>
        <v>-313036.59742828883</v>
      </c>
      <c r="M176" s="388">
        <f t="shared" si="40"/>
        <v>881325.13728156441</v>
      </c>
      <c r="N176" s="390">
        <f t="shared" si="37"/>
        <v>568288.53985327552</v>
      </c>
      <c r="O176" s="381"/>
      <c r="P176" s="391">
        <f>Données!AC176</f>
        <v>0</v>
      </c>
      <c r="Q176" s="392">
        <f>Données!AD176</f>
        <v>0</v>
      </c>
      <c r="R176" s="393">
        <f t="shared" si="41"/>
        <v>0</v>
      </c>
      <c r="S176" s="394">
        <f t="shared" si="42"/>
        <v>0</v>
      </c>
      <c r="T176" s="393">
        <f t="shared" si="43"/>
        <v>150096.2472316575</v>
      </c>
      <c r="U176" s="395">
        <f t="shared" si="38"/>
        <v>150096.2472316575</v>
      </c>
    </row>
    <row r="177" spans="1:21" x14ac:dyDescent="0.25">
      <c r="A177" s="202">
        <f>Données!A177</f>
        <v>5704</v>
      </c>
      <c r="B177" s="203" t="str">
        <f>Données!B177</f>
        <v>Begnins</v>
      </c>
      <c r="C177" s="387">
        <f>Données!C177</f>
        <v>2041</v>
      </c>
      <c r="D177" s="379">
        <f t="shared" si="34"/>
        <v>1000</v>
      </c>
      <c r="E177" s="379">
        <f t="shared" si="39"/>
        <v>1041</v>
      </c>
      <c r="F177" s="388">
        <f t="shared" si="47"/>
        <v>0</v>
      </c>
      <c r="G177" s="378">
        <f t="shared" si="47"/>
        <v>0</v>
      </c>
      <c r="H177" s="379">
        <f t="shared" si="47"/>
        <v>0</v>
      </c>
      <c r="I177" s="388">
        <f t="shared" si="47"/>
        <v>0</v>
      </c>
      <c r="J177" s="389">
        <f t="shared" si="35"/>
        <v>0</v>
      </c>
      <c r="K177" s="378"/>
      <c r="L177" s="379">
        <f t="shared" si="36"/>
        <v>-520327.64589515334</v>
      </c>
      <c r="M177" s="388">
        <f t="shared" si="40"/>
        <v>1212119.0061938497</v>
      </c>
      <c r="N177" s="390">
        <f t="shared" si="37"/>
        <v>691791.36029869644</v>
      </c>
      <c r="O177" s="381"/>
      <c r="P177" s="391">
        <f>Données!AC177</f>
        <v>0</v>
      </c>
      <c r="Q177" s="392">
        <f>Données!AD177</f>
        <v>0</v>
      </c>
      <c r="R177" s="393">
        <f t="shared" si="41"/>
        <v>0</v>
      </c>
      <c r="S177" s="394">
        <f t="shared" si="42"/>
        <v>0</v>
      </c>
      <c r="T177" s="393">
        <f t="shared" si="43"/>
        <v>206432.91145539956</v>
      </c>
      <c r="U177" s="395">
        <f t="shared" si="38"/>
        <v>206432.91145539956</v>
      </c>
    </row>
    <row r="178" spans="1:21" x14ac:dyDescent="0.25">
      <c r="A178" s="202">
        <f>Données!A178</f>
        <v>5705</v>
      </c>
      <c r="B178" s="203" t="str">
        <f>Données!B178</f>
        <v>Bogis-Bossey</v>
      </c>
      <c r="C178" s="387">
        <f>Données!C178</f>
        <v>990</v>
      </c>
      <c r="D178" s="379">
        <f t="shared" si="34"/>
        <v>990</v>
      </c>
      <c r="E178" s="379">
        <f t="shared" si="39"/>
        <v>0</v>
      </c>
      <c r="F178" s="388">
        <f t="shared" si="47"/>
        <v>0</v>
      </c>
      <c r="G178" s="378">
        <f t="shared" si="47"/>
        <v>0</v>
      </c>
      <c r="H178" s="379">
        <f t="shared" si="47"/>
        <v>0</v>
      </c>
      <c r="I178" s="388">
        <f t="shared" si="47"/>
        <v>0</v>
      </c>
      <c r="J178" s="389">
        <f t="shared" si="35"/>
        <v>0</v>
      </c>
      <c r="K178" s="378"/>
      <c r="L178" s="379">
        <f t="shared" si="36"/>
        <v>-131583.82789317507</v>
      </c>
      <c r="M178" s="388">
        <f t="shared" si="40"/>
        <v>587946.01476330776</v>
      </c>
      <c r="N178" s="390">
        <f t="shared" si="37"/>
        <v>456362.18687013269</v>
      </c>
      <c r="O178" s="381"/>
      <c r="P178" s="391">
        <f>Données!AC178</f>
        <v>0</v>
      </c>
      <c r="Q178" s="392">
        <f>Données!AD178</f>
        <v>0</v>
      </c>
      <c r="R178" s="393">
        <f t="shared" si="41"/>
        <v>0</v>
      </c>
      <c r="S178" s="394">
        <f t="shared" si="42"/>
        <v>0</v>
      </c>
      <c r="T178" s="393">
        <f t="shared" si="43"/>
        <v>100131.593503599</v>
      </c>
      <c r="U178" s="395">
        <f t="shared" si="38"/>
        <v>100131.593503599</v>
      </c>
    </row>
    <row r="179" spans="1:21" x14ac:dyDescent="0.25">
      <c r="A179" s="202">
        <f>Données!A179</f>
        <v>5706</v>
      </c>
      <c r="B179" s="203" t="str">
        <f>Données!B179</f>
        <v>Borex</v>
      </c>
      <c r="C179" s="387">
        <f>Données!C179</f>
        <v>1144</v>
      </c>
      <c r="D179" s="379">
        <f t="shared" si="34"/>
        <v>1000</v>
      </c>
      <c r="E179" s="379">
        <f t="shared" si="39"/>
        <v>144</v>
      </c>
      <c r="F179" s="388">
        <f t="shared" ref="F179:I188" si="48">IF($C179&lt;F$4,0,IF($C179&gt;F$5,F$5-F$4,$C179-F$4))</f>
        <v>0</v>
      </c>
      <c r="G179" s="378">
        <f t="shared" si="48"/>
        <v>0</v>
      </c>
      <c r="H179" s="379">
        <f t="shared" si="48"/>
        <v>0</v>
      </c>
      <c r="I179" s="388">
        <f t="shared" si="48"/>
        <v>0</v>
      </c>
      <c r="J179" s="389">
        <f t="shared" si="35"/>
        <v>0</v>
      </c>
      <c r="K179" s="378"/>
      <c r="L179" s="379">
        <f t="shared" si="36"/>
        <v>-186503.46191889219</v>
      </c>
      <c r="M179" s="388">
        <f t="shared" si="40"/>
        <v>679404.28372648894</v>
      </c>
      <c r="N179" s="390">
        <f t="shared" si="37"/>
        <v>492900.82180759672</v>
      </c>
      <c r="O179" s="381"/>
      <c r="P179" s="391">
        <f>Données!AC179</f>
        <v>0</v>
      </c>
      <c r="Q179" s="392">
        <f>Données!AD179</f>
        <v>0</v>
      </c>
      <c r="R179" s="393">
        <f t="shared" si="41"/>
        <v>0</v>
      </c>
      <c r="S179" s="394">
        <f t="shared" si="42"/>
        <v>0</v>
      </c>
      <c r="T179" s="393">
        <f t="shared" si="43"/>
        <v>115707.61915971439</v>
      </c>
      <c r="U179" s="395">
        <f t="shared" si="38"/>
        <v>115707.61915971439</v>
      </c>
    </row>
    <row r="180" spans="1:21" x14ac:dyDescent="0.25">
      <c r="A180" s="202">
        <f>Données!A180</f>
        <v>5707</v>
      </c>
      <c r="B180" s="203" t="str">
        <f>Données!B180</f>
        <v>Chavannes-de-Bogis</v>
      </c>
      <c r="C180" s="387">
        <f>Données!C180</f>
        <v>1388</v>
      </c>
      <c r="D180" s="379">
        <f t="shared" si="34"/>
        <v>1000</v>
      </c>
      <c r="E180" s="379">
        <f t="shared" si="39"/>
        <v>388</v>
      </c>
      <c r="F180" s="388">
        <f t="shared" si="48"/>
        <v>0</v>
      </c>
      <c r="G180" s="378">
        <f t="shared" si="48"/>
        <v>0</v>
      </c>
      <c r="H180" s="379">
        <f t="shared" si="48"/>
        <v>0</v>
      </c>
      <c r="I180" s="388">
        <f t="shared" si="48"/>
        <v>0</v>
      </c>
      <c r="J180" s="389">
        <f t="shared" si="35"/>
        <v>0</v>
      </c>
      <c r="K180" s="378"/>
      <c r="L180" s="379">
        <f t="shared" si="36"/>
        <v>-277309.59446092974</v>
      </c>
      <c r="M180" s="388">
        <f t="shared" si="40"/>
        <v>824312.19039542542</v>
      </c>
      <c r="N180" s="390">
        <f t="shared" si="37"/>
        <v>547002.59593449568</v>
      </c>
      <c r="O180" s="381"/>
      <c r="P180" s="391">
        <f>Données!AC180</f>
        <v>0</v>
      </c>
      <c r="Q180" s="392">
        <f>Données!AD180</f>
        <v>0</v>
      </c>
      <c r="R180" s="393">
        <f t="shared" si="41"/>
        <v>0</v>
      </c>
      <c r="S180" s="394">
        <f t="shared" si="42"/>
        <v>0</v>
      </c>
      <c r="T180" s="393">
        <f t="shared" si="43"/>
        <v>140386.51695252061</v>
      </c>
      <c r="U180" s="395">
        <f t="shared" si="38"/>
        <v>140386.51695252061</v>
      </c>
    </row>
    <row r="181" spans="1:21" x14ac:dyDescent="0.25">
      <c r="A181" s="202">
        <f>Données!A181</f>
        <v>5708</v>
      </c>
      <c r="B181" s="203" t="str">
        <f>Données!B181</f>
        <v>Chavannes-des-Bois</v>
      </c>
      <c r="C181" s="387">
        <f>Données!C181</f>
        <v>982</v>
      </c>
      <c r="D181" s="379">
        <f t="shared" si="34"/>
        <v>982</v>
      </c>
      <c r="E181" s="379">
        <f t="shared" si="39"/>
        <v>0</v>
      </c>
      <c r="F181" s="388">
        <f t="shared" si="48"/>
        <v>0</v>
      </c>
      <c r="G181" s="378">
        <f t="shared" si="48"/>
        <v>0</v>
      </c>
      <c r="H181" s="379">
        <f t="shared" si="48"/>
        <v>0</v>
      </c>
      <c r="I181" s="388">
        <f t="shared" si="48"/>
        <v>0</v>
      </c>
      <c r="J181" s="389">
        <f t="shared" si="35"/>
        <v>0</v>
      </c>
      <c r="K181" s="378"/>
      <c r="L181" s="379">
        <f t="shared" si="36"/>
        <v>-130520.52423343224</v>
      </c>
      <c r="M181" s="388">
        <f t="shared" si="40"/>
        <v>583194.93585612951</v>
      </c>
      <c r="N181" s="390">
        <f t="shared" si="37"/>
        <v>452674.41162269725</v>
      </c>
      <c r="O181" s="381"/>
      <c r="P181" s="391">
        <f>Données!AC181</f>
        <v>0</v>
      </c>
      <c r="Q181" s="392">
        <f>Données!AD181</f>
        <v>0</v>
      </c>
      <c r="R181" s="393">
        <f t="shared" si="41"/>
        <v>0</v>
      </c>
      <c r="S181" s="394">
        <f t="shared" si="42"/>
        <v>0</v>
      </c>
      <c r="T181" s="393">
        <f t="shared" si="43"/>
        <v>99322.449313670921</v>
      </c>
      <c r="U181" s="395">
        <f t="shared" si="38"/>
        <v>99322.449313670921</v>
      </c>
    </row>
    <row r="182" spans="1:21" x14ac:dyDescent="0.25">
      <c r="A182" s="202">
        <f>Données!A182</f>
        <v>5709</v>
      </c>
      <c r="B182" s="203" t="str">
        <f>Données!B182</f>
        <v>Chéserex</v>
      </c>
      <c r="C182" s="387">
        <f>Données!C182</f>
        <v>1277</v>
      </c>
      <c r="D182" s="379">
        <f t="shared" si="34"/>
        <v>1000</v>
      </c>
      <c r="E182" s="379">
        <f t="shared" si="39"/>
        <v>277</v>
      </c>
      <c r="F182" s="388">
        <f t="shared" si="48"/>
        <v>0</v>
      </c>
      <c r="G182" s="378">
        <f t="shared" si="48"/>
        <v>0</v>
      </c>
      <c r="H182" s="379">
        <f t="shared" si="48"/>
        <v>0</v>
      </c>
      <c r="I182" s="388">
        <f t="shared" si="48"/>
        <v>0</v>
      </c>
      <c r="J182" s="389">
        <f t="shared" si="35"/>
        <v>0</v>
      </c>
      <c r="K182" s="378"/>
      <c r="L182" s="379">
        <f t="shared" si="36"/>
        <v>-236000.24727992088</v>
      </c>
      <c r="M182" s="388">
        <f t="shared" si="40"/>
        <v>758390.97055832727</v>
      </c>
      <c r="N182" s="390">
        <f t="shared" si="37"/>
        <v>522390.72327840643</v>
      </c>
      <c r="O182" s="381"/>
      <c r="P182" s="391">
        <f>Données!AC182</f>
        <v>0</v>
      </c>
      <c r="Q182" s="392">
        <f>Données!AD182</f>
        <v>0</v>
      </c>
      <c r="R182" s="393">
        <f t="shared" si="41"/>
        <v>0</v>
      </c>
      <c r="S182" s="394">
        <f t="shared" si="42"/>
        <v>0</v>
      </c>
      <c r="T182" s="393">
        <f t="shared" si="43"/>
        <v>129159.6413172686</v>
      </c>
      <c r="U182" s="395">
        <f t="shared" si="38"/>
        <v>129159.6413172686</v>
      </c>
    </row>
    <row r="183" spans="1:21" x14ac:dyDescent="0.25">
      <c r="A183" s="202">
        <f>Données!A183</f>
        <v>5710</v>
      </c>
      <c r="B183" s="203" t="str">
        <f>Données!B183</f>
        <v>Coinsins</v>
      </c>
      <c r="C183" s="387">
        <f>Données!C183</f>
        <v>517</v>
      </c>
      <c r="D183" s="379">
        <f t="shared" si="34"/>
        <v>517</v>
      </c>
      <c r="E183" s="379">
        <f t="shared" si="39"/>
        <v>0</v>
      </c>
      <c r="F183" s="388">
        <f t="shared" si="48"/>
        <v>0</v>
      </c>
      <c r="G183" s="378">
        <f t="shared" si="48"/>
        <v>0</v>
      </c>
      <c r="H183" s="379">
        <f t="shared" si="48"/>
        <v>0</v>
      </c>
      <c r="I183" s="388">
        <f t="shared" si="48"/>
        <v>0</v>
      </c>
      <c r="J183" s="389">
        <f t="shared" si="35"/>
        <v>0</v>
      </c>
      <c r="K183" s="378"/>
      <c r="L183" s="379">
        <f t="shared" si="36"/>
        <v>-68715.999010880318</v>
      </c>
      <c r="M183" s="388">
        <f t="shared" si="40"/>
        <v>307038.47437639406</v>
      </c>
      <c r="N183" s="390">
        <f t="shared" si="37"/>
        <v>238322.47536551376</v>
      </c>
      <c r="O183" s="381"/>
      <c r="P183" s="391">
        <f>Données!AC183</f>
        <v>0</v>
      </c>
      <c r="Q183" s="392">
        <f>Données!AD183</f>
        <v>0</v>
      </c>
      <c r="R183" s="393">
        <f t="shared" si="41"/>
        <v>0</v>
      </c>
      <c r="S183" s="394">
        <f t="shared" si="42"/>
        <v>0</v>
      </c>
      <c r="T183" s="393">
        <f t="shared" si="43"/>
        <v>52290.943274101701</v>
      </c>
      <c r="U183" s="395">
        <f t="shared" si="38"/>
        <v>52290.943274101701</v>
      </c>
    </row>
    <row r="184" spans="1:21" x14ac:dyDescent="0.25">
      <c r="A184" s="202">
        <f>Données!A184</f>
        <v>5711</v>
      </c>
      <c r="B184" s="203" t="str">
        <f>Données!B184</f>
        <v>Commugny</v>
      </c>
      <c r="C184" s="387">
        <f>Données!C184</f>
        <v>2987</v>
      </c>
      <c r="D184" s="379">
        <f t="shared" si="34"/>
        <v>1000</v>
      </c>
      <c r="E184" s="379">
        <f t="shared" si="39"/>
        <v>1987</v>
      </c>
      <c r="F184" s="388">
        <f t="shared" si="48"/>
        <v>0</v>
      </c>
      <c r="G184" s="378">
        <f t="shared" si="48"/>
        <v>0</v>
      </c>
      <c r="H184" s="379">
        <f t="shared" si="48"/>
        <v>0</v>
      </c>
      <c r="I184" s="388">
        <f t="shared" si="48"/>
        <v>0</v>
      </c>
      <c r="J184" s="389">
        <f t="shared" si="35"/>
        <v>0</v>
      </c>
      <c r="K184" s="378"/>
      <c r="L184" s="379">
        <f t="shared" si="36"/>
        <v>-872387.48763600411</v>
      </c>
      <c r="M184" s="388">
        <f t="shared" si="40"/>
        <v>1773934.0869676771</v>
      </c>
      <c r="N184" s="390">
        <f t="shared" si="37"/>
        <v>901546.599331673</v>
      </c>
      <c r="O184" s="381"/>
      <c r="P184" s="391">
        <f>Données!AC184</f>
        <v>0</v>
      </c>
      <c r="Q184" s="392">
        <f>Données!AD184</f>
        <v>0</v>
      </c>
      <c r="R184" s="393">
        <f t="shared" si="41"/>
        <v>0</v>
      </c>
      <c r="S184" s="394">
        <f t="shared" si="42"/>
        <v>0</v>
      </c>
      <c r="T184" s="393">
        <f t="shared" si="43"/>
        <v>302114.21191439417</v>
      </c>
      <c r="U184" s="395">
        <f t="shared" si="38"/>
        <v>302114.21191439417</v>
      </c>
    </row>
    <row r="185" spans="1:21" x14ac:dyDescent="0.25">
      <c r="A185" s="202">
        <f>Données!A185</f>
        <v>5712</v>
      </c>
      <c r="B185" s="203" t="str">
        <f>Données!B185</f>
        <v>Coppet</v>
      </c>
      <c r="C185" s="387">
        <f>Données!C185</f>
        <v>3216</v>
      </c>
      <c r="D185" s="379">
        <f t="shared" si="34"/>
        <v>1000</v>
      </c>
      <c r="E185" s="379">
        <f t="shared" si="39"/>
        <v>2000</v>
      </c>
      <c r="F185" s="388">
        <f t="shared" si="48"/>
        <v>216</v>
      </c>
      <c r="G185" s="378">
        <f t="shared" si="48"/>
        <v>0</v>
      </c>
      <c r="H185" s="379">
        <f t="shared" si="48"/>
        <v>0</v>
      </c>
      <c r="I185" s="388">
        <f t="shared" si="48"/>
        <v>0</v>
      </c>
      <c r="J185" s="389">
        <f t="shared" si="35"/>
        <v>0</v>
      </c>
      <c r="K185" s="378"/>
      <c r="L185" s="379">
        <f t="shared" si="36"/>
        <v>-1020771.5133531159</v>
      </c>
      <c r="M185" s="388">
        <f t="shared" si="40"/>
        <v>1909933.7206856543</v>
      </c>
      <c r="N185" s="390">
        <f t="shared" si="37"/>
        <v>889162.20733253844</v>
      </c>
      <c r="O185" s="381"/>
      <c r="P185" s="391">
        <f>Données!AC185</f>
        <v>0</v>
      </c>
      <c r="Q185" s="392">
        <f>Données!AD185</f>
        <v>0</v>
      </c>
      <c r="R185" s="393">
        <f t="shared" si="41"/>
        <v>0</v>
      </c>
      <c r="S185" s="394">
        <f t="shared" si="42"/>
        <v>0</v>
      </c>
      <c r="T185" s="393">
        <f t="shared" si="43"/>
        <v>325275.96435108525</v>
      </c>
      <c r="U185" s="395">
        <f t="shared" si="38"/>
        <v>325275.96435108525</v>
      </c>
    </row>
    <row r="186" spans="1:21" x14ac:dyDescent="0.25">
      <c r="A186" s="202">
        <f>Données!A186</f>
        <v>5713</v>
      </c>
      <c r="B186" s="203" t="str">
        <f>Données!B186</f>
        <v>Crans</v>
      </c>
      <c r="C186" s="387">
        <f>Données!C186</f>
        <v>2455</v>
      </c>
      <c r="D186" s="379">
        <f t="shared" si="34"/>
        <v>1000</v>
      </c>
      <c r="E186" s="379">
        <f t="shared" si="39"/>
        <v>1455</v>
      </c>
      <c r="F186" s="388">
        <f t="shared" si="48"/>
        <v>0</v>
      </c>
      <c r="G186" s="378">
        <f t="shared" si="48"/>
        <v>0</v>
      </c>
      <c r="H186" s="379">
        <f t="shared" si="48"/>
        <v>0</v>
      </c>
      <c r="I186" s="388">
        <f t="shared" si="48"/>
        <v>0</v>
      </c>
      <c r="J186" s="389">
        <f t="shared" si="35"/>
        <v>0</v>
      </c>
      <c r="K186" s="378"/>
      <c r="L186" s="379">
        <f t="shared" si="36"/>
        <v>-674400.34619188914</v>
      </c>
      <c r="M186" s="388">
        <f t="shared" si="40"/>
        <v>1457987.3396403238</v>
      </c>
      <c r="N186" s="390">
        <f t="shared" si="37"/>
        <v>783586.99344843463</v>
      </c>
      <c r="O186" s="381"/>
      <c r="P186" s="391">
        <f>Données!AC186</f>
        <v>0</v>
      </c>
      <c r="Q186" s="392">
        <f>Données!AD186</f>
        <v>0</v>
      </c>
      <c r="R186" s="393">
        <f t="shared" si="41"/>
        <v>0</v>
      </c>
      <c r="S186" s="394">
        <f t="shared" si="42"/>
        <v>0</v>
      </c>
      <c r="T186" s="393">
        <f t="shared" si="43"/>
        <v>248306.1232841773</v>
      </c>
      <c r="U186" s="395">
        <f t="shared" si="38"/>
        <v>248306.1232841773</v>
      </c>
    </row>
    <row r="187" spans="1:21" x14ac:dyDescent="0.25">
      <c r="A187" s="202">
        <f>Données!A187</f>
        <v>5714</v>
      </c>
      <c r="B187" s="203" t="str">
        <f>Données!B187</f>
        <v>Crassier</v>
      </c>
      <c r="C187" s="387">
        <f>Données!C187</f>
        <v>1274</v>
      </c>
      <c r="D187" s="379">
        <f t="shared" si="34"/>
        <v>1000</v>
      </c>
      <c r="E187" s="379">
        <f t="shared" si="39"/>
        <v>274</v>
      </c>
      <c r="F187" s="388">
        <f t="shared" si="48"/>
        <v>0</v>
      </c>
      <c r="G187" s="378">
        <f t="shared" si="48"/>
        <v>0</v>
      </c>
      <c r="H187" s="379">
        <f t="shared" si="48"/>
        <v>0</v>
      </c>
      <c r="I187" s="388">
        <f t="shared" si="48"/>
        <v>0</v>
      </c>
      <c r="J187" s="389">
        <f t="shared" si="35"/>
        <v>0</v>
      </c>
      <c r="K187" s="378"/>
      <c r="L187" s="379">
        <f t="shared" si="36"/>
        <v>-234883.77843719092</v>
      </c>
      <c r="M187" s="388">
        <f t="shared" si="40"/>
        <v>756609.31596813549</v>
      </c>
      <c r="N187" s="390">
        <f t="shared" si="37"/>
        <v>521725.53753094457</v>
      </c>
      <c r="O187" s="381"/>
      <c r="P187" s="391">
        <f>Données!AC187</f>
        <v>0</v>
      </c>
      <c r="Q187" s="392">
        <f>Données!AD187</f>
        <v>0</v>
      </c>
      <c r="R187" s="393">
        <f t="shared" si="41"/>
        <v>0</v>
      </c>
      <c r="S187" s="394">
        <f t="shared" si="42"/>
        <v>0</v>
      </c>
      <c r="T187" s="393">
        <f t="shared" si="43"/>
        <v>128856.21224604557</v>
      </c>
      <c r="U187" s="395">
        <f t="shared" si="38"/>
        <v>128856.21224604557</v>
      </c>
    </row>
    <row r="188" spans="1:21" x14ac:dyDescent="0.25">
      <c r="A188" s="202">
        <f>Données!A188</f>
        <v>5715</v>
      </c>
      <c r="B188" s="203" t="str">
        <f>Données!B188</f>
        <v>Duillier</v>
      </c>
      <c r="C188" s="387">
        <f>Données!C188</f>
        <v>1143</v>
      </c>
      <c r="D188" s="379">
        <f t="shared" si="34"/>
        <v>1000</v>
      </c>
      <c r="E188" s="379">
        <f t="shared" si="39"/>
        <v>143</v>
      </c>
      <c r="F188" s="388">
        <f t="shared" si="48"/>
        <v>0</v>
      </c>
      <c r="G188" s="378">
        <f t="shared" si="48"/>
        <v>0</v>
      </c>
      <c r="H188" s="379">
        <f t="shared" si="48"/>
        <v>0</v>
      </c>
      <c r="I188" s="388">
        <f t="shared" si="48"/>
        <v>0</v>
      </c>
      <c r="J188" s="389">
        <f t="shared" si="35"/>
        <v>0</v>
      </c>
      <c r="K188" s="378"/>
      <c r="L188" s="379">
        <f t="shared" si="36"/>
        <v>-186131.30563798221</v>
      </c>
      <c r="M188" s="388">
        <f t="shared" si="40"/>
        <v>678810.39886309172</v>
      </c>
      <c r="N188" s="390">
        <f t="shared" si="37"/>
        <v>492679.09322510951</v>
      </c>
      <c r="O188" s="381"/>
      <c r="P188" s="391">
        <f>Données!AC188</f>
        <v>0</v>
      </c>
      <c r="Q188" s="392">
        <f>Données!AD188</f>
        <v>0</v>
      </c>
      <c r="R188" s="393">
        <f t="shared" si="41"/>
        <v>0</v>
      </c>
      <c r="S188" s="394">
        <f t="shared" si="42"/>
        <v>0</v>
      </c>
      <c r="T188" s="393">
        <f t="shared" si="43"/>
        <v>115606.47613597338</v>
      </c>
      <c r="U188" s="395">
        <f t="shared" si="38"/>
        <v>115606.47613597338</v>
      </c>
    </row>
    <row r="189" spans="1:21" x14ac:dyDescent="0.25">
      <c r="A189" s="202">
        <f>Données!A189</f>
        <v>5716</v>
      </c>
      <c r="B189" s="203" t="str">
        <f>Données!B189</f>
        <v>Eysins</v>
      </c>
      <c r="C189" s="387">
        <f>Données!C189</f>
        <v>1772</v>
      </c>
      <c r="D189" s="379">
        <f t="shared" si="34"/>
        <v>1000</v>
      </c>
      <c r="E189" s="379">
        <f t="shared" si="39"/>
        <v>772</v>
      </c>
      <c r="F189" s="388">
        <f t="shared" ref="F189:I198" si="49">IF($C189&lt;F$4,0,IF($C189&gt;F$5,F$5-F$4,$C189-F$4))</f>
        <v>0</v>
      </c>
      <c r="G189" s="378">
        <f t="shared" si="49"/>
        <v>0</v>
      </c>
      <c r="H189" s="379">
        <f t="shared" si="49"/>
        <v>0</v>
      </c>
      <c r="I189" s="388">
        <f t="shared" si="49"/>
        <v>0</v>
      </c>
      <c r="J189" s="389">
        <f t="shared" si="35"/>
        <v>0</v>
      </c>
      <c r="K189" s="378"/>
      <c r="L189" s="379">
        <f t="shared" si="36"/>
        <v>-420217.60633036599</v>
      </c>
      <c r="M189" s="388">
        <f t="shared" si="40"/>
        <v>1052363.9779399813</v>
      </c>
      <c r="N189" s="390">
        <f t="shared" si="37"/>
        <v>632146.37160961528</v>
      </c>
      <c r="O189" s="381"/>
      <c r="P189" s="391">
        <f>Données!AC189</f>
        <v>0</v>
      </c>
      <c r="Q189" s="392">
        <f>Données!AD189</f>
        <v>0</v>
      </c>
      <c r="R189" s="393">
        <f t="shared" si="41"/>
        <v>0</v>
      </c>
      <c r="S189" s="394">
        <f t="shared" si="42"/>
        <v>0</v>
      </c>
      <c r="T189" s="393">
        <f t="shared" si="43"/>
        <v>179225.4380690681</v>
      </c>
      <c r="U189" s="395">
        <f t="shared" si="38"/>
        <v>179225.4380690681</v>
      </c>
    </row>
    <row r="190" spans="1:21" x14ac:dyDescent="0.25">
      <c r="A190" s="202">
        <f>Données!A190</f>
        <v>5717</v>
      </c>
      <c r="B190" s="203" t="str">
        <f>Données!B190</f>
        <v>Founex</v>
      </c>
      <c r="C190" s="387">
        <f>Données!C190</f>
        <v>3748</v>
      </c>
      <c r="D190" s="379">
        <f t="shared" si="34"/>
        <v>1000</v>
      </c>
      <c r="E190" s="379">
        <f t="shared" si="39"/>
        <v>2000</v>
      </c>
      <c r="F190" s="388">
        <f t="shared" si="49"/>
        <v>748</v>
      </c>
      <c r="G190" s="378">
        <f t="shared" si="49"/>
        <v>0</v>
      </c>
      <c r="H190" s="379">
        <f t="shared" si="49"/>
        <v>0</v>
      </c>
      <c r="I190" s="388">
        <f t="shared" si="49"/>
        <v>0</v>
      </c>
      <c r="J190" s="389">
        <f t="shared" si="35"/>
        <v>0</v>
      </c>
      <c r="K190" s="378"/>
      <c r="L190" s="379">
        <f t="shared" si="36"/>
        <v>-1374319.9802176063</v>
      </c>
      <c r="M190" s="388">
        <f t="shared" si="40"/>
        <v>2225880.4680130077</v>
      </c>
      <c r="N190" s="390">
        <f t="shared" si="37"/>
        <v>851560.48779540136</v>
      </c>
      <c r="O190" s="381"/>
      <c r="P190" s="391">
        <f>Données!AC190</f>
        <v>0</v>
      </c>
      <c r="Q190" s="392">
        <f>Données!AD190</f>
        <v>0</v>
      </c>
      <c r="R190" s="393">
        <f t="shared" si="41"/>
        <v>0</v>
      </c>
      <c r="S190" s="394">
        <f t="shared" si="42"/>
        <v>0</v>
      </c>
      <c r="T190" s="393">
        <f t="shared" si="43"/>
        <v>379084.05298130208</v>
      </c>
      <c r="U190" s="395">
        <f t="shared" si="38"/>
        <v>379084.05298130208</v>
      </c>
    </row>
    <row r="191" spans="1:21" x14ac:dyDescent="0.25">
      <c r="A191" s="202">
        <f>Données!A191</f>
        <v>5718</v>
      </c>
      <c r="B191" s="203" t="str">
        <f>Données!B191</f>
        <v>Genolier</v>
      </c>
      <c r="C191" s="387">
        <f>Données!C191</f>
        <v>2012</v>
      </c>
      <c r="D191" s="379">
        <f t="shared" si="34"/>
        <v>1000</v>
      </c>
      <c r="E191" s="379">
        <f t="shared" si="39"/>
        <v>1012</v>
      </c>
      <c r="F191" s="388">
        <f t="shared" si="49"/>
        <v>0</v>
      </c>
      <c r="G191" s="378">
        <f t="shared" si="49"/>
        <v>0</v>
      </c>
      <c r="H191" s="379">
        <f t="shared" si="49"/>
        <v>0</v>
      </c>
      <c r="I191" s="388">
        <f t="shared" si="49"/>
        <v>0</v>
      </c>
      <c r="J191" s="389">
        <f t="shared" si="35"/>
        <v>0</v>
      </c>
      <c r="K191" s="378"/>
      <c r="L191" s="379">
        <f t="shared" si="36"/>
        <v>-509535.11374876363</v>
      </c>
      <c r="M191" s="388">
        <f t="shared" si="40"/>
        <v>1194896.3451553285</v>
      </c>
      <c r="N191" s="390">
        <f t="shared" si="37"/>
        <v>685361.23140656482</v>
      </c>
      <c r="O191" s="381"/>
      <c r="P191" s="391">
        <f>Données!AC191</f>
        <v>0</v>
      </c>
      <c r="Q191" s="392">
        <f>Données!AD191</f>
        <v>0</v>
      </c>
      <c r="R191" s="393">
        <f t="shared" si="41"/>
        <v>0</v>
      </c>
      <c r="S191" s="394">
        <f t="shared" si="42"/>
        <v>0</v>
      </c>
      <c r="T191" s="393">
        <f t="shared" si="43"/>
        <v>203499.7637669103</v>
      </c>
      <c r="U191" s="395">
        <f t="shared" si="38"/>
        <v>203499.7637669103</v>
      </c>
    </row>
    <row r="192" spans="1:21" x14ac:dyDescent="0.25">
      <c r="A192" s="202">
        <f>Données!A192</f>
        <v>5719</v>
      </c>
      <c r="B192" s="203" t="str">
        <f>Données!B192</f>
        <v>Gingins</v>
      </c>
      <c r="C192" s="387">
        <f>Données!C192</f>
        <v>1253</v>
      </c>
      <c r="D192" s="379">
        <f t="shared" si="34"/>
        <v>1000</v>
      </c>
      <c r="E192" s="379">
        <f t="shared" si="39"/>
        <v>253</v>
      </c>
      <c r="F192" s="388">
        <f t="shared" si="49"/>
        <v>0</v>
      </c>
      <c r="G192" s="378">
        <f t="shared" si="49"/>
        <v>0</v>
      </c>
      <c r="H192" s="379">
        <f t="shared" si="49"/>
        <v>0</v>
      </c>
      <c r="I192" s="388">
        <f t="shared" si="49"/>
        <v>0</v>
      </c>
      <c r="J192" s="389">
        <f t="shared" si="35"/>
        <v>0</v>
      </c>
      <c r="K192" s="378"/>
      <c r="L192" s="379">
        <f t="shared" si="36"/>
        <v>-227068.49653808112</v>
      </c>
      <c r="M192" s="388">
        <f t="shared" si="40"/>
        <v>744137.73383679253</v>
      </c>
      <c r="N192" s="390">
        <f t="shared" si="37"/>
        <v>517069.23729871144</v>
      </c>
      <c r="O192" s="381"/>
      <c r="P192" s="391">
        <f>Données!AC192</f>
        <v>0</v>
      </c>
      <c r="Q192" s="392">
        <f>Données!AD192</f>
        <v>0</v>
      </c>
      <c r="R192" s="393">
        <f t="shared" si="41"/>
        <v>0</v>
      </c>
      <c r="S192" s="394">
        <f t="shared" si="42"/>
        <v>0</v>
      </c>
      <c r="T192" s="393">
        <f t="shared" si="43"/>
        <v>126732.20874748439</v>
      </c>
      <c r="U192" s="395">
        <f t="shared" si="38"/>
        <v>126732.20874748439</v>
      </c>
    </row>
    <row r="193" spans="1:21" x14ac:dyDescent="0.25">
      <c r="A193" s="202">
        <f>Données!A193</f>
        <v>5720</v>
      </c>
      <c r="B193" s="203" t="str">
        <f>Données!B193</f>
        <v>Givrins</v>
      </c>
      <c r="C193" s="387">
        <f>Données!C193</f>
        <v>1071</v>
      </c>
      <c r="D193" s="379">
        <f t="shared" si="34"/>
        <v>1000</v>
      </c>
      <c r="E193" s="379">
        <f t="shared" si="39"/>
        <v>71</v>
      </c>
      <c r="F193" s="388">
        <f t="shared" si="49"/>
        <v>0</v>
      </c>
      <c r="G193" s="378">
        <f t="shared" si="49"/>
        <v>0</v>
      </c>
      <c r="H193" s="379">
        <f t="shared" si="49"/>
        <v>0</v>
      </c>
      <c r="I193" s="388">
        <f t="shared" si="49"/>
        <v>0</v>
      </c>
      <c r="J193" s="389">
        <f t="shared" si="35"/>
        <v>0</v>
      </c>
      <c r="K193" s="378"/>
      <c r="L193" s="379">
        <f t="shared" si="36"/>
        <v>-159336.0534124629</v>
      </c>
      <c r="M193" s="388">
        <f t="shared" si="40"/>
        <v>636050.68869848747</v>
      </c>
      <c r="N193" s="390">
        <f t="shared" si="37"/>
        <v>476714.63528602454</v>
      </c>
      <c r="O193" s="381"/>
      <c r="P193" s="391">
        <f>Données!AC193</f>
        <v>0</v>
      </c>
      <c r="Q193" s="392">
        <f>Données!AD193</f>
        <v>0</v>
      </c>
      <c r="R193" s="393">
        <f t="shared" si="41"/>
        <v>0</v>
      </c>
      <c r="S193" s="394">
        <f t="shared" si="42"/>
        <v>0</v>
      </c>
      <c r="T193" s="393">
        <f t="shared" si="43"/>
        <v>108324.17842662074</v>
      </c>
      <c r="U193" s="395">
        <f t="shared" si="38"/>
        <v>108324.17842662074</v>
      </c>
    </row>
    <row r="194" spans="1:21" x14ac:dyDescent="0.25">
      <c r="A194" s="202">
        <f>Données!A194</f>
        <v>5721</v>
      </c>
      <c r="B194" s="203" t="str">
        <f>Données!B194</f>
        <v>Gland</v>
      </c>
      <c r="C194" s="387">
        <f>Données!C194</f>
        <v>13968</v>
      </c>
      <c r="D194" s="379">
        <f t="shared" si="34"/>
        <v>1000</v>
      </c>
      <c r="E194" s="379">
        <f t="shared" si="39"/>
        <v>2000</v>
      </c>
      <c r="F194" s="388">
        <f t="shared" si="49"/>
        <v>9000</v>
      </c>
      <c r="G194" s="378">
        <f t="shared" si="49"/>
        <v>1968</v>
      </c>
      <c r="H194" s="379">
        <f t="shared" si="49"/>
        <v>0</v>
      </c>
      <c r="I194" s="388">
        <f t="shared" si="49"/>
        <v>0</v>
      </c>
      <c r="J194" s="389">
        <f t="shared" si="35"/>
        <v>0</v>
      </c>
      <c r="K194" s="378"/>
      <c r="L194" s="379">
        <f t="shared" si="36"/>
        <v>-8950890.2077151332</v>
      </c>
      <c r="M194" s="388">
        <f t="shared" si="40"/>
        <v>8295383.7719332147</v>
      </c>
      <c r="N194" s="390">
        <f t="shared" si="37"/>
        <v>-655506.43578191847</v>
      </c>
      <c r="O194" s="381"/>
      <c r="P194" s="391">
        <f>Données!AC194</f>
        <v>465935.25</v>
      </c>
      <c r="Q194" s="392">
        <f>Données!AD194</f>
        <v>42078</v>
      </c>
      <c r="R194" s="393">
        <f t="shared" si="41"/>
        <v>508013.25</v>
      </c>
      <c r="S194" s="394">
        <f t="shared" si="42"/>
        <v>-304807.95</v>
      </c>
      <c r="T194" s="393">
        <f t="shared" si="43"/>
        <v>1412765.755614415</v>
      </c>
      <c r="U194" s="395">
        <f t="shared" si="38"/>
        <v>1107957.8056144151</v>
      </c>
    </row>
    <row r="195" spans="1:21" x14ac:dyDescent="0.25">
      <c r="A195" s="202">
        <f>Données!A195</f>
        <v>5722</v>
      </c>
      <c r="B195" s="203" t="str">
        <f>Données!B195</f>
        <v>Grens</v>
      </c>
      <c r="C195" s="387">
        <f>Données!C195</f>
        <v>394</v>
      </c>
      <c r="D195" s="379">
        <f t="shared" si="34"/>
        <v>394</v>
      </c>
      <c r="E195" s="379">
        <f t="shared" si="39"/>
        <v>0</v>
      </c>
      <c r="F195" s="388">
        <f t="shared" si="49"/>
        <v>0</v>
      </c>
      <c r="G195" s="378">
        <f t="shared" si="49"/>
        <v>0</v>
      </c>
      <c r="H195" s="379">
        <f t="shared" si="49"/>
        <v>0</v>
      </c>
      <c r="I195" s="388">
        <f t="shared" si="49"/>
        <v>0</v>
      </c>
      <c r="J195" s="389">
        <f t="shared" si="35"/>
        <v>0</v>
      </c>
      <c r="K195" s="378"/>
      <c r="L195" s="379">
        <f t="shared" si="36"/>
        <v>-52367.705242334319</v>
      </c>
      <c r="M195" s="388">
        <f t="shared" si="40"/>
        <v>233990.63617852854</v>
      </c>
      <c r="N195" s="390">
        <f t="shared" si="37"/>
        <v>181622.93093619423</v>
      </c>
      <c r="O195" s="381"/>
      <c r="P195" s="391">
        <f>Données!AC195</f>
        <v>0</v>
      </c>
      <c r="Q195" s="392">
        <f>Données!AD195</f>
        <v>0</v>
      </c>
      <c r="R195" s="393">
        <f t="shared" si="41"/>
        <v>0</v>
      </c>
      <c r="S195" s="394">
        <f t="shared" si="42"/>
        <v>0</v>
      </c>
      <c r="T195" s="393">
        <f t="shared" si="43"/>
        <v>39850.35135395758</v>
      </c>
      <c r="U195" s="395">
        <f t="shared" si="38"/>
        <v>39850.35135395758</v>
      </c>
    </row>
    <row r="196" spans="1:21" x14ac:dyDescent="0.25">
      <c r="A196" s="202">
        <f>Données!A196</f>
        <v>5723</v>
      </c>
      <c r="B196" s="203" t="str">
        <f>Données!B196</f>
        <v>Mies</v>
      </c>
      <c r="C196" s="387">
        <f>Données!C196</f>
        <v>2163</v>
      </c>
      <c r="D196" s="379">
        <f t="shared" si="34"/>
        <v>1000</v>
      </c>
      <c r="E196" s="379">
        <f t="shared" si="39"/>
        <v>1163</v>
      </c>
      <c r="F196" s="388">
        <f t="shared" si="49"/>
        <v>0</v>
      </c>
      <c r="G196" s="378">
        <f t="shared" si="49"/>
        <v>0</v>
      </c>
      <c r="H196" s="379">
        <f t="shared" si="49"/>
        <v>0</v>
      </c>
      <c r="I196" s="388">
        <f t="shared" si="49"/>
        <v>0</v>
      </c>
      <c r="J196" s="389">
        <f t="shared" si="35"/>
        <v>0</v>
      </c>
      <c r="K196" s="378"/>
      <c r="L196" s="379">
        <f t="shared" si="36"/>
        <v>-565730.71216617222</v>
      </c>
      <c r="M196" s="388">
        <f t="shared" si="40"/>
        <v>1284572.9595283179</v>
      </c>
      <c r="N196" s="390">
        <f t="shared" si="37"/>
        <v>718842.24736214569</v>
      </c>
      <c r="O196" s="381"/>
      <c r="P196" s="391">
        <f>Données!AC196</f>
        <v>0</v>
      </c>
      <c r="Q196" s="392">
        <f>Données!AD196</f>
        <v>0</v>
      </c>
      <c r="R196" s="393">
        <f t="shared" si="41"/>
        <v>0</v>
      </c>
      <c r="S196" s="394">
        <f t="shared" si="42"/>
        <v>0</v>
      </c>
      <c r="T196" s="393">
        <f t="shared" si="43"/>
        <v>218772.36035180266</v>
      </c>
      <c r="U196" s="395">
        <f t="shared" si="38"/>
        <v>218772.36035180266</v>
      </c>
    </row>
    <row r="197" spans="1:21" x14ac:dyDescent="0.25">
      <c r="A197" s="202">
        <f>Données!A197</f>
        <v>5724</v>
      </c>
      <c r="B197" s="203" t="str">
        <f>Données!B197</f>
        <v>Nyon</v>
      </c>
      <c r="C197" s="387">
        <f>Données!C197</f>
        <v>23328</v>
      </c>
      <c r="D197" s="379">
        <f t="shared" si="34"/>
        <v>1000</v>
      </c>
      <c r="E197" s="379">
        <f t="shared" si="39"/>
        <v>2000</v>
      </c>
      <c r="F197" s="388">
        <f t="shared" si="49"/>
        <v>9000</v>
      </c>
      <c r="G197" s="378">
        <f t="shared" si="49"/>
        <v>3000</v>
      </c>
      <c r="H197" s="379">
        <f t="shared" si="49"/>
        <v>8328</v>
      </c>
      <c r="I197" s="388">
        <f t="shared" si="49"/>
        <v>0</v>
      </c>
      <c r="J197" s="389">
        <f t="shared" si="35"/>
        <v>0</v>
      </c>
      <c r="K197" s="378"/>
      <c r="L197" s="379">
        <f t="shared" si="36"/>
        <v>-19346172.106824927</v>
      </c>
      <c r="M197" s="388">
        <f t="shared" si="40"/>
        <v>13854146.093331762</v>
      </c>
      <c r="N197" s="390">
        <f t="shared" si="37"/>
        <v>-5492026.0134931654</v>
      </c>
      <c r="O197" s="381"/>
      <c r="P197" s="391">
        <f>Données!AC197</f>
        <v>3749648</v>
      </c>
      <c r="Q197" s="392">
        <f>Données!AD197</f>
        <v>0</v>
      </c>
      <c r="R197" s="393">
        <f t="shared" si="41"/>
        <v>3749648</v>
      </c>
      <c r="S197" s="394">
        <f t="shared" si="42"/>
        <v>-2249788.7999999998</v>
      </c>
      <c r="T197" s="393">
        <f t="shared" si="43"/>
        <v>2359464.45783026</v>
      </c>
      <c r="U197" s="395">
        <f t="shared" si="38"/>
        <v>109675.65783026023</v>
      </c>
    </row>
    <row r="198" spans="1:21" x14ac:dyDescent="0.25">
      <c r="A198" s="202">
        <f>Données!A198</f>
        <v>5725</v>
      </c>
      <c r="B198" s="203" t="str">
        <f>Données!B198</f>
        <v>Prangins</v>
      </c>
      <c r="C198" s="387">
        <f>Données!C198</f>
        <v>4280</v>
      </c>
      <c r="D198" s="379">
        <f t="shared" si="34"/>
        <v>1000</v>
      </c>
      <c r="E198" s="379">
        <f t="shared" si="39"/>
        <v>2000</v>
      </c>
      <c r="F198" s="388">
        <f t="shared" si="49"/>
        <v>1280</v>
      </c>
      <c r="G198" s="378">
        <f t="shared" si="49"/>
        <v>0</v>
      </c>
      <c r="H198" s="379">
        <f t="shared" si="49"/>
        <v>0</v>
      </c>
      <c r="I198" s="388">
        <f t="shared" si="49"/>
        <v>0</v>
      </c>
      <c r="J198" s="389">
        <f t="shared" si="35"/>
        <v>0</v>
      </c>
      <c r="K198" s="378"/>
      <c r="L198" s="379">
        <f t="shared" si="36"/>
        <v>-1727868.4470820972</v>
      </c>
      <c r="M198" s="388">
        <f t="shared" si="40"/>
        <v>2541827.215340361</v>
      </c>
      <c r="N198" s="390">
        <f t="shared" si="37"/>
        <v>813958.76825826382</v>
      </c>
      <c r="O198" s="381"/>
      <c r="P198" s="391">
        <f>Données!AC198</f>
        <v>946474</v>
      </c>
      <c r="Q198" s="392">
        <f>Données!AD198</f>
        <v>0</v>
      </c>
      <c r="R198" s="393">
        <f t="shared" si="41"/>
        <v>946474</v>
      </c>
      <c r="S198" s="394">
        <f t="shared" si="42"/>
        <v>-567884.4</v>
      </c>
      <c r="T198" s="393">
        <f t="shared" si="43"/>
        <v>432892.14161151892</v>
      </c>
      <c r="U198" s="395">
        <f t="shared" si="38"/>
        <v>-134992.2583884811</v>
      </c>
    </row>
    <row r="199" spans="1:21" x14ac:dyDescent="0.25">
      <c r="A199" s="202">
        <f>Données!A199</f>
        <v>5726</v>
      </c>
      <c r="B199" s="203" t="str">
        <f>Données!B199</f>
        <v>La Rippe</v>
      </c>
      <c r="C199" s="387">
        <f>Données!C199</f>
        <v>1194</v>
      </c>
      <c r="D199" s="379">
        <f t="shared" si="34"/>
        <v>1000</v>
      </c>
      <c r="E199" s="379">
        <f t="shared" si="39"/>
        <v>194</v>
      </c>
      <c r="F199" s="388">
        <f t="shared" ref="F199:I208" si="50">IF($C199&lt;F$4,0,IF($C199&gt;F$5,F$5-F$4,$C199-F$4))</f>
        <v>0</v>
      </c>
      <c r="G199" s="378">
        <f t="shared" si="50"/>
        <v>0</v>
      </c>
      <c r="H199" s="379">
        <f t="shared" si="50"/>
        <v>0</v>
      </c>
      <c r="I199" s="388">
        <f t="shared" si="50"/>
        <v>0</v>
      </c>
      <c r="J199" s="389">
        <f t="shared" si="35"/>
        <v>0</v>
      </c>
      <c r="K199" s="378"/>
      <c r="L199" s="379">
        <f t="shared" si="36"/>
        <v>-205111.27596439171</v>
      </c>
      <c r="M199" s="388">
        <f t="shared" si="40"/>
        <v>709098.526896353</v>
      </c>
      <c r="N199" s="390">
        <f t="shared" si="37"/>
        <v>503987.25093196129</v>
      </c>
      <c r="O199" s="381"/>
      <c r="P199" s="391">
        <f>Données!AC199</f>
        <v>0</v>
      </c>
      <c r="Q199" s="392">
        <f>Données!AD199</f>
        <v>0</v>
      </c>
      <c r="R199" s="393">
        <f t="shared" si="41"/>
        <v>0</v>
      </c>
      <c r="S199" s="394">
        <f t="shared" si="42"/>
        <v>0</v>
      </c>
      <c r="T199" s="393">
        <f t="shared" si="43"/>
        <v>120764.77034676485</v>
      </c>
      <c r="U199" s="395">
        <f t="shared" si="38"/>
        <v>120764.77034676485</v>
      </c>
    </row>
    <row r="200" spans="1:21" x14ac:dyDescent="0.25">
      <c r="A200" s="202">
        <f>Données!A200</f>
        <v>5727</v>
      </c>
      <c r="B200" s="203" t="str">
        <f>Données!B200</f>
        <v>Saint-Cergue</v>
      </c>
      <c r="C200" s="387">
        <f>Données!C200</f>
        <v>3012</v>
      </c>
      <c r="D200" s="379">
        <f t="shared" ref="D200:D263" si="51">IF(C200&gt;$D$5,$D$5-$D$4,C200)</f>
        <v>1000</v>
      </c>
      <c r="E200" s="379">
        <f t="shared" si="39"/>
        <v>2000</v>
      </c>
      <c r="F200" s="388">
        <f t="shared" si="50"/>
        <v>12</v>
      </c>
      <c r="G200" s="378">
        <f t="shared" si="50"/>
        <v>0</v>
      </c>
      <c r="H200" s="379">
        <f t="shared" si="50"/>
        <v>0</v>
      </c>
      <c r="I200" s="388">
        <f t="shared" si="50"/>
        <v>0</v>
      </c>
      <c r="J200" s="389">
        <f t="shared" ref="J200:J263" si="52">IF($C200&lt;J$4,0,$C200-J$4)</f>
        <v>0</v>
      </c>
      <c r="K200" s="378"/>
      <c r="L200" s="379">
        <f t="shared" ref="L200:L263" si="53">-SUMPRODUCT($D$6:$J$6,D200:J200)</f>
        <v>-885200.29673590511</v>
      </c>
      <c r="M200" s="388">
        <f t="shared" si="40"/>
        <v>1788781.2085526092</v>
      </c>
      <c r="N200" s="390">
        <f t="shared" ref="N200:N263" si="54">SUM(L200:M200)</f>
        <v>903580.91181670409</v>
      </c>
      <c r="O200" s="381"/>
      <c r="P200" s="391">
        <f>Données!AC200</f>
        <v>0</v>
      </c>
      <c r="Q200" s="392">
        <f>Données!AD200</f>
        <v>0</v>
      </c>
      <c r="R200" s="393">
        <f t="shared" si="41"/>
        <v>0</v>
      </c>
      <c r="S200" s="394">
        <f t="shared" si="42"/>
        <v>0</v>
      </c>
      <c r="T200" s="393">
        <f t="shared" si="43"/>
        <v>304642.78750791936</v>
      </c>
      <c r="U200" s="395">
        <f t="shared" ref="U200:U263" si="55">S200+T200</f>
        <v>304642.78750791936</v>
      </c>
    </row>
    <row r="201" spans="1:21" x14ac:dyDescent="0.25">
      <c r="A201" s="202">
        <f>Données!A201</f>
        <v>5728</v>
      </c>
      <c r="B201" s="203" t="str">
        <f>Données!B201</f>
        <v>Signy-Avenex</v>
      </c>
      <c r="C201" s="387">
        <f>Données!C201</f>
        <v>605</v>
      </c>
      <c r="D201" s="379">
        <f t="shared" si="51"/>
        <v>605</v>
      </c>
      <c r="E201" s="379">
        <f t="shared" ref="E201:E264" si="56">IF(C201&lt;$E$4,0,IF(C201&gt;$E$5,$E$5-$E$4,C201-$E$4))</f>
        <v>0</v>
      </c>
      <c r="F201" s="388">
        <f t="shared" si="50"/>
        <v>0</v>
      </c>
      <c r="G201" s="378">
        <f t="shared" si="50"/>
        <v>0</v>
      </c>
      <c r="H201" s="379">
        <f t="shared" si="50"/>
        <v>0</v>
      </c>
      <c r="I201" s="388">
        <f t="shared" si="50"/>
        <v>0</v>
      </c>
      <c r="J201" s="389">
        <f t="shared" si="52"/>
        <v>0</v>
      </c>
      <c r="K201" s="378"/>
      <c r="L201" s="379">
        <f t="shared" si="53"/>
        <v>-80412.339268051423</v>
      </c>
      <c r="M201" s="388">
        <f t="shared" ref="M201:M264" si="57">(-$L$6)/($C$308)*C201</f>
        <v>359300.34235535475</v>
      </c>
      <c r="N201" s="390">
        <f t="shared" si="54"/>
        <v>278888.00308730331</v>
      </c>
      <c r="O201" s="381"/>
      <c r="P201" s="391">
        <f>Données!AC201</f>
        <v>0</v>
      </c>
      <c r="Q201" s="392">
        <f>Données!AD201</f>
        <v>0</v>
      </c>
      <c r="R201" s="393">
        <f t="shared" ref="R201:R264" si="58">SUM(P201:Q201)</f>
        <v>0</v>
      </c>
      <c r="S201" s="394">
        <f t="shared" ref="S201:S264" si="59">-R201*$P$6</f>
        <v>0</v>
      </c>
      <c r="T201" s="393">
        <f t="shared" ref="T201:T264" si="60">-$S$6/$C$308*C201</f>
        <v>61191.529363310496</v>
      </c>
      <c r="U201" s="395">
        <f t="shared" si="55"/>
        <v>61191.529363310496</v>
      </c>
    </row>
    <row r="202" spans="1:21" x14ac:dyDescent="0.25">
      <c r="A202" s="202">
        <f>Données!A202</f>
        <v>5729</v>
      </c>
      <c r="B202" s="203" t="str">
        <f>Données!B202</f>
        <v>Tannay</v>
      </c>
      <c r="C202" s="387">
        <f>Données!C202</f>
        <v>1728</v>
      </c>
      <c r="D202" s="379">
        <f t="shared" si="51"/>
        <v>1000</v>
      </c>
      <c r="E202" s="379">
        <f t="shared" si="56"/>
        <v>728</v>
      </c>
      <c r="F202" s="388">
        <f t="shared" si="50"/>
        <v>0</v>
      </c>
      <c r="G202" s="378">
        <f t="shared" si="50"/>
        <v>0</v>
      </c>
      <c r="H202" s="379">
        <f t="shared" si="50"/>
        <v>0</v>
      </c>
      <c r="I202" s="388">
        <f t="shared" si="50"/>
        <v>0</v>
      </c>
      <c r="J202" s="389">
        <f t="shared" si="52"/>
        <v>0</v>
      </c>
      <c r="K202" s="378"/>
      <c r="L202" s="379">
        <f t="shared" si="53"/>
        <v>-403842.72997032641</v>
      </c>
      <c r="M202" s="388">
        <f t="shared" si="57"/>
        <v>1026233.0439505009</v>
      </c>
      <c r="N202" s="390">
        <f t="shared" si="54"/>
        <v>622390.31398017448</v>
      </c>
      <c r="O202" s="381"/>
      <c r="P202" s="391">
        <f>Données!AC202</f>
        <v>0</v>
      </c>
      <c r="Q202" s="392">
        <f>Données!AD202</f>
        <v>0</v>
      </c>
      <c r="R202" s="393">
        <f t="shared" si="58"/>
        <v>0</v>
      </c>
      <c r="S202" s="394">
        <f t="shared" si="59"/>
        <v>0</v>
      </c>
      <c r="T202" s="393">
        <f t="shared" si="60"/>
        <v>174775.14502446371</v>
      </c>
      <c r="U202" s="395">
        <f t="shared" si="55"/>
        <v>174775.14502446371</v>
      </c>
    </row>
    <row r="203" spans="1:21" x14ac:dyDescent="0.25">
      <c r="A203" s="202">
        <f>Données!A203</f>
        <v>5730</v>
      </c>
      <c r="B203" s="203" t="str">
        <f>Données!B203</f>
        <v>Trélex</v>
      </c>
      <c r="C203" s="387">
        <f>Données!C203</f>
        <v>1428</v>
      </c>
      <c r="D203" s="379">
        <f t="shared" si="51"/>
        <v>1000</v>
      </c>
      <c r="E203" s="379">
        <f t="shared" si="56"/>
        <v>428</v>
      </c>
      <c r="F203" s="388">
        <f t="shared" si="50"/>
        <v>0</v>
      </c>
      <c r="G203" s="378">
        <f t="shared" si="50"/>
        <v>0</v>
      </c>
      <c r="H203" s="379">
        <f t="shared" si="50"/>
        <v>0</v>
      </c>
      <c r="I203" s="388">
        <f t="shared" si="50"/>
        <v>0</v>
      </c>
      <c r="J203" s="389">
        <f t="shared" si="52"/>
        <v>0</v>
      </c>
      <c r="K203" s="378"/>
      <c r="L203" s="379">
        <f t="shared" si="53"/>
        <v>-292195.84569732938</v>
      </c>
      <c r="M203" s="388">
        <f t="shared" si="57"/>
        <v>848067.58493131667</v>
      </c>
      <c r="N203" s="390">
        <f t="shared" si="54"/>
        <v>555871.73923398729</v>
      </c>
      <c r="O203" s="381"/>
      <c r="P203" s="391">
        <f>Données!AC203</f>
        <v>0</v>
      </c>
      <c r="Q203" s="392">
        <f>Données!AD203</f>
        <v>0</v>
      </c>
      <c r="R203" s="393">
        <f t="shared" si="58"/>
        <v>0</v>
      </c>
      <c r="S203" s="394">
        <f t="shared" si="59"/>
        <v>0</v>
      </c>
      <c r="T203" s="393">
        <f t="shared" si="60"/>
        <v>144432.23790216097</v>
      </c>
      <c r="U203" s="395">
        <f t="shared" si="55"/>
        <v>144432.23790216097</v>
      </c>
    </row>
    <row r="204" spans="1:21" x14ac:dyDescent="0.25">
      <c r="A204" s="202">
        <f>Données!A204</f>
        <v>5731</v>
      </c>
      <c r="B204" s="203" t="str">
        <f>Données!B204</f>
        <v>Le Vaud</v>
      </c>
      <c r="C204" s="387">
        <f>Données!C204</f>
        <v>1374</v>
      </c>
      <c r="D204" s="379">
        <f t="shared" si="51"/>
        <v>1000</v>
      </c>
      <c r="E204" s="379">
        <f t="shared" si="56"/>
        <v>374</v>
      </c>
      <c r="F204" s="388">
        <f t="shared" si="50"/>
        <v>0</v>
      </c>
      <c r="G204" s="378">
        <f t="shared" si="50"/>
        <v>0</v>
      </c>
      <c r="H204" s="379">
        <f t="shared" si="50"/>
        <v>0</v>
      </c>
      <c r="I204" s="388">
        <f t="shared" si="50"/>
        <v>0</v>
      </c>
      <c r="J204" s="389">
        <f t="shared" si="52"/>
        <v>0</v>
      </c>
      <c r="K204" s="378"/>
      <c r="L204" s="379">
        <f t="shared" si="53"/>
        <v>-272099.40652818989</v>
      </c>
      <c r="M204" s="388">
        <f t="shared" si="57"/>
        <v>815997.80230786349</v>
      </c>
      <c r="N204" s="390">
        <f t="shared" si="54"/>
        <v>543898.39577967359</v>
      </c>
      <c r="O204" s="381"/>
      <c r="P204" s="391">
        <f>Données!AC204</f>
        <v>0</v>
      </c>
      <c r="Q204" s="392">
        <f>Données!AD204</f>
        <v>0</v>
      </c>
      <c r="R204" s="393">
        <f t="shared" si="58"/>
        <v>0</v>
      </c>
      <c r="S204" s="394">
        <f t="shared" si="59"/>
        <v>0</v>
      </c>
      <c r="T204" s="393">
        <f t="shared" si="60"/>
        <v>138970.51462014648</v>
      </c>
      <c r="U204" s="395">
        <f t="shared" si="55"/>
        <v>138970.51462014648</v>
      </c>
    </row>
    <row r="205" spans="1:21" x14ac:dyDescent="0.25">
      <c r="A205" s="202">
        <f>Données!A205</f>
        <v>5732</v>
      </c>
      <c r="B205" s="203" t="str">
        <f>Données!B205</f>
        <v>Vich</v>
      </c>
      <c r="C205" s="387">
        <f>Données!C205</f>
        <v>1179</v>
      </c>
      <c r="D205" s="379">
        <f t="shared" si="51"/>
        <v>1000</v>
      </c>
      <c r="E205" s="379">
        <f t="shared" si="56"/>
        <v>179</v>
      </c>
      <c r="F205" s="388">
        <f t="shared" si="50"/>
        <v>0</v>
      </c>
      <c r="G205" s="378">
        <f t="shared" si="50"/>
        <v>0</v>
      </c>
      <c r="H205" s="379">
        <f t="shared" si="50"/>
        <v>0</v>
      </c>
      <c r="I205" s="388">
        <f t="shared" si="50"/>
        <v>0</v>
      </c>
      <c r="J205" s="389">
        <f t="shared" si="52"/>
        <v>0</v>
      </c>
      <c r="K205" s="378"/>
      <c r="L205" s="379">
        <f t="shared" si="53"/>
        <v>-199528.93175074185</v>
      </c>
      <c r="M205" s="388">
        <f t="shared" si="57"/>
        <v>700190.25394539384</v>
      </c>
      <c r="N205" s="390">
        <f t="shared" si="54"/>
        <v>500661.32219465199</v>
      </c>
      <c r="O205" s="381"/>
      <c r="P205" s="391">
        <f>Données!AC205</f>
        <v>0</v>
      </c>
      <c r="Q205" s="392">
        <f>Données!AD205</f>
        <v>0</v>
      </c>
      <c r="R205" s="393">
        <f t="shared" si="58"/>
        <v>0</v>
      </c>
      <c r="S205" s="394">
        <f t="shared" si="59"/>
        <v>0</v>
      </c>
      <c r="T205" s="393">
        <f t="shared" si="60"/>
        <v>119247.62499064971</v>
      </c>
      <c r="U205" s="395">
        <f t="shared" si="55"/>
        <v>119247.62499064971</v>
      </c>
    </row>
    <row r="206" spans="1:21" x14ac:dyDescent="0.25">
      <c r="A206" s="202">
        <f>Données!A206</f>
        <v>5741</v>
      </c>
      <c r="B206" s="203" t="str">
        <f>Données!B206</f>
        <v>L'Abergement</v>
      </c>
      <c r="C206" s="387">
        <f>Données!C206</f>
        <v>270</v>
      </c>
      <c r="D206" s="379">
        <f t="shared" si="51"/>
        <v>270</v>
      </c>
      <c r="E206" s="379">
        <f t="shared" si="56"/>
        <v>0</v>
      </c>
      <c r="F206" s="388">
        <f t="shared" si="50"/>
        <v>0</v>
      </c>
      <c r="G206" s="378">
        <f t="shared" si="50"/>
        <v>0</v>
      </c>
      <c r="H206" s="379">
        <f t="shared" si="50"/>
        <v>0</v>
      </c>
      <c r="I206" s="388">
        <f t="shared" si="50"/>
        <v>0</v>
      </c>
      <c r="J206" s="389">
        <f t="shared" si="52"/>
        <v>0</v>
      </c>
      <c r="K206" s="378"/>
      <c r="L206" s="379">
        <f t="shared" si="53"/>
        <v>-35886.498516320469</v>
      </c>
      <c r="M206" s="388">
        <f t="shared" si="57"/>
        <v>160348.91311726577</v>
      </c>
      <c r="N206" s="390">
        <f t="shared" si="54"/>
        <v>124462.4146009453</v>
      </c>
      <c r="O206" s="381"/>
      <c r="P206" s="391">
        <f>Données!AC206</f>
        <v>0</v>
      </c>
      <c r="Q206" s="392">
        <f>Données!AD206</f>
        <v>0</v>
      </c>
      <c r="R206" s="393">
        <f t="shared" si="58"/>
        <v>0</v>
      </c>
      <c r="S206" s="394">
        <f t="shared" si="59"/>
        <v>0</v>
      </c>
      <c r="T206" s="393">
        <f t="shared" si="60"/>
        <v>27308.616410072453</v>
      </c>
      <c r="U206" s="395">
        <f t="shared" si="55"/>
        <v>27308.616410072453</v>
      </c>
    </row>
    <row r="207" spans="1:21" x14ac:dyDescent="0.25">
      <c r="A207" s="202">
        <f>Données!A207</f>
        <v>5742</v>
      </c>
      <c r="B207" s="203" t="str">
        <f>Données!B207</f>
        <v>Agiez</v>
      </c>
      <c r="C207" s="387">
        <f>Données!C207</f>
        <v>373</v>
      </c>
      <c r="D207" s="379">
        <f t="shared" si="51"/>
        <v>373</v>
      </c>
      <c r="E207" s="379">
        <f t="shared" si="56"/>
        <v>0</v>
      </c>
      <c r="F207" s="388">
        <f t="shared" si="50"/>
        <v>0</v>
      </c>
      <c r="G207" s="378">
        <f t="shared" si="50"/>
        <v>0</v>
      </c>
      <c r="H207" s="379">
        <f t="shared" si="50"/>
        <v>0</v>
      </c>
      <c r="I207" s="388">
        <f t="shared" si="50"/>
        <v>0</v>
      </c>
      <c r="J207" s="389">
        <f t="shared" si="52"/>
        <v>0</v>
      </c>
      <c r="K207" s="378"/>
      <c r="L207" s="379">
        <f t="shared" si="53"/>
        <v>-49576.533135509395</v>
      </c>
      <c r="M207" s="388">
        <f t="shared" si="57"/>
        <v>221519.05404718567</v>
      </c>
      <c r="N207" s="390">
        <f t="shared" si="54"/>
        <v>171942.52091167629</v>
      </c>
      <c r="O207" s="381"/>
      <c r="P207" s="391">
        <f>Données!AC207</f>
        <v>0</v>
      </c>
      <c r="Q207" s="392">
        <f>Données!AD207</f>
        <v>0</v>
      </c>
      <c r="R207" s="393">
        <f t="shared" si="58"/>
        <v>0</v>
      </c>
      <c r="S207" s="394">
        <f t="shared" si="59"/>
        <v>0</v>
      </c>
      <c r="T207" s="393">
        <f t="shared" si="60"/>
        <v>37726.347855396387</v>
      </c>
      <c r="U207" s="395">
        <f t="shared" si="55"/>
        <v>37726.347855396387</v>
      </c>
    </row>
    <row r="208" spans="1:21" x14ac:dyDescent="0.25">
      <c r="A208" s="202">
        <f>Données!A208</f>
        <v>5743</v>
      </c>
      <c r="B208" s="203" t="str">
        <f>Données!B208</f>
        <v>Arnex-sur-Orbe</v>
      </c>
      <c r="C208" s="387">
        <f>Données!C208</f>
        <v>697</v>
      </c>
      <c r="D208" s="379">
        <f t="shared" si="51"/>
        <v>697</v>
      </c>
      <c r="E208" s="379">
        <f t="shared" si="56"/>
        <v>0</v>
      </c>
      <c r="F208" s="388">
        <f t="shared" si="50"/>
        <v>0</v>
      </c>
      <c r="G208" s="378">
        <f t="shared" si="50"/>
        <v>0</v>
      </c>
      <c r="H208" s="379">
        <f t="shared" si="50"/>
        <v>0</v>
      </c>
      <c r="I208" s="388">
        <f t="shared" si="50"/>
        <v>0</v>
      </c>
      <c r="J208" s="389">
        <f t="shared" si="52"/>
        <v>0</v>
      </c>
      <c r="K208" s="378"/>
      <c r="L208" s="379">
        <f t="shared" si="53"/>
        <v>-92640.331355093964</v>
      </c>
      <c r="M208" s="388">
        <f t="shared" si="57"/>
        <v>413937.74978790455</v>
      </c>
      <c r="N208" s="390">
        <f t="shared" si="54"/>
        <v>321297.41843281058</v>
      </c>
      <c r="O208" s="381"/>
      <c r="P208" s="391">
        <f>Données!AC208</f>
        <v>0</v>
      </c>
      <c r="Q208" s="392">
        <f>Données!AD208</f>
        <v>0</v>
      </c>
      <c r="R208" s="393">
        <f t="shared" si="58"/>
        <v>0</v>
      </c>
      <c r="S208" s="394">
        <f t="shared" si="59"/>
        <v>0</v>
      </c>
      <c r="T208" s="393">
        <f t="shared" si="60"/>
        <v>70496.687547483336</v>
      </c>
      <c r="U208" s="395">
        <f t="shared" si="55"/>
        <v>70496.687547483336</v>
      </c>
    </row>
    <row r="209" spans="1:21" x14ac:dyDescent="0.25">
      <c r="A209" s="202">
        <f>Données!A209</f>
        <v>5744</v>
      </c>
      <c r="B209" s="203" t="str">
        <f>Données!B209</f>
        <v>Ballaigues</v>
      </c>
      <c r="C209" s="387">
        <f>Données!C209</f>
        <v>1209</v>
      </c>
      <c r="D209" s="379">
        <f t="shared" si="51"/>
        <v>1000</v>
      </c>
      <c r="E209" s="379">
        <f t="shared" si="56"/>
        <v>209</v>
      </c>
      <c r="F209" s="388">
        <f t="shared" ref="F209:I218" si="61">IF($C209&lt;F$4,0,IF($C209&gt;F$5,F$5-F$4,$C209-F$4))</f>
        <v>0</v>
      </c>
      <c r="G209" s="378">
        <f t="shared" si="61"/>
        <v>0</v>
      </c>
      <c r="H209" s="379">
        <f t="shared" si="61"/>
        <v>0</v>
      </c>
      <c r="I209" s="388">
        <f t="shared" si="61"/>
        <v>0</v>
      </c>
      <c r="J209" s="389">
        <f t="shared" si="52"/>
        <v>0</v>
      </c>
      <c r="K209" s="378"/>
      <c r="L209" s="379">
        <f t="shared" si="53"/>
        <v>-210693.62017804157</v>
      </c>
      <c r="M209" s="388">
        <f t="shared" si="57"/>
        <v>718006.79984731227</v>
      </c>
      <c r="N209" s="390">
        <f t="shared" si="54"/>
        <v>507313.1796692707</v>
      </c>
      <c r="O209" s="381"/>
      <c r="P209" s="391">
        <f>Données!AC209</f>
        <v>0</v>
      </c>
      <c r="Q209" s="392">
        <f>Données!AD209</f>
        <v>0</v>
      </c>
      <c r="R209" s="393">
        <f t="shared" si="58"/>
        <v>0</v>
      </c>
      <c r="S209" s="394">
        <f t="shared" si="59"/>
        <v>0</v>
      </c>
      <c r="T209" s="393">
        <f t="shared" si="60"/>
        <v>122281.91570287998</v>
      </c>
      <c r="U209" s="395">
        <f t="shared" si="55"/>
        <v>122281.91570287998</v>
      </c>
    </row>
    <row r="210" spans="1:21" x14ac:dyDescent="0.25">
      <c r="A210" s="202">
        <f>Données!A210</f>
        <v>5745</v>
      </c>
      <c r="B210" s="203" t="str">
        <f>Données!B210</f>
        <v>Baulmes</v>
      </c>
      <c r="C210" s="387">
        <f>Données!C210</f>
        <v>1168</v>
      </c>
      <c r="D210" s="379">
        <f t="shared" si="51"/>
        <v>1000</v>
      </c>
      <c r="E210" s="379">
        <f t="shared" si="56"/>
        <v>168</v>
      </c>
      <c r="F210" s="388">
        <f t="shared" si="61"/>
        <v>0</v>
      </c>
      <c r="G210" s="378">
        <f t="shared" si="61"/>
        <v>0</v>
      </c>
      <c r="H210" s="379">
        <f t="shared" si="61"/>
        <v>0</v>
      </c>
      <c r="I210" s="388">
        <f t="shared" si="61"/>
        <v>0</v>
      </c>
      <c r="J210" s="389">
        <f t="shared" si="52"/>
        <v>0</v>
      </c>
      <c r="K210" s="378"/>
      <c r="L210" s="379">
        <f t="shared" si="53"/>
        <v>-195435.21266073195</v>
      </c>
      <c r="M210" s="388">
        <f t="shared" si="57"/>
        <v>693657.52044802369</v>
      </c>
      <c r="N210" s="390">
        <f t="shared" si="54"/>
        <v>498222.30778729171</v>
      </c>
      <c r="O210" s="381"/>
      <c r="P210" s="391">
        <f>Données!AC210</f>
        <v>0</v>
      </c>
      <c r="Q210" s="392">
        <f>Données!AD210</f>
        <v>0</v>
      </c>
      <c r="R210" s="393">
        <f t="shared" si="58"/>
        <v>0</v>
      </c>
      <c r="S210" s="394">
        <f t="shared" si="59"/>
        <v>0</v>
      </c>
      <c r="T210" s="393">
        <f t="shared" si="60"/>
        <v>118135.05172949862</v>
      </c>
      <c r="U210" s="395">
        <f t="shared" si="55"/>
        <v>118135.05172949862</v>
      </c>
    </row>
    <row r="211" spans="1:21" x14ac:dyDescent="0.25">
      <c r="A211" s="202">
        <f>Données!A211</f>
        <v>5746</v>
      </c>
      <c r="B211" s="203" t="str">
        <f>Données!B211</f>
        <v>Bavois</v>
      </c>
      <c r="C211" s="387">
        <f>Données!C211</f>
        <v>1041</v>
      </c>
      <c r="D211" s="379">
        <f t="shared" si="51"/>
        <v>1000</v>
      </c>
      <c r="E211" s="379">
        <f t="shared" si="56"/>
        <v>41</v>
      </c>
      <c r="F211" s="388">
        <f t="shared" si="61"/>
        <v>0</v>
      </c>
      <c r="G211" s="378">
        <f t="shared" si="61"/>
        <v>0</v>
      </c>
      <c r="H211" s="379">
        <f t="shared" si="61"/>
        <v>0</v>
      </c>
      <c r="I211" s="388">
        <f t="shared" si="61"/>
        <v>0</v>
      </c>
      <c r="J211" s="389">
        <f t="shared" si="52"/>
        <v>0</v>
      </c>
      <c r="K211" s="378"/>
      <c r="L211" s="379">
        <f t="shared" si="53"/>
        <v>-148171.36498516321</v>
      </c>
      <c r="M211" s="388">
        <f t="shared" si="57"/>
        <v>618234.14279656904</v>
      </c>
      <c r="N211" s="390">
        <f t="shared" si="54"/>
        <v>470062.77781140583</v>
      </c>
      <c r="O211" s="381"/>
      <c r="P211" s="391">
        <f>Données!AC211</f>
        <v>0</v>
      </c>
      <c r="Q211" s="392">
        <f>Données!AD211</f>
        <v>0</v>
      </c>
      <c r="R211" s="393">
        <f t="shared" si="58"/>
        <v>0</v>
      </c>
      <c r="S211" s="394">
        <f t="shared" si="59"/>
        <v>0</v>
      </c>
      <c r="T211" s="393">
        <f t="shared" si="60"/>
        <v>105289.88771439045</v>
      </c>
      <c r="U211" s="395">
        <f t="shared" si="55"/>
        <v>105289.88771439045</v>
      </c>
    </row>
    <row r="212" spans="1:21" x14ac:dyDescent="0.25">
      <c r="A212" s="202">
        <f>Données!A212</f>
        <v>5747</v>
      </c>
      <c r="B212" s="203" t="str">
        <f>Données!B212</f>
        <v>Bofflens</v>
      </c>
      <c r="C212" s="387">
        <f>Données!C212</f>
        <v>200</v>
      </c>
      <c r="D212" s="379">
        <f t="shared" si="51"/>
        <v>200</v>
      </c>
      <c r="E212" s="379">
        <f t="shared" si="56"/>
        <v>0</v>
      </c>
      <c r="F212" s="388">
        <f t="shared" si="61"/>
        <v>0</v>
      </c>
      <c r="G212" s="378">
        <f t="shared" si="61"/>
        <v>0</v>
      </c>
      <c r="H212" s="379">
        <f t="shared" si="61"/>
        <v>0</v>
      </c>
      <c r="I212" s="388">
        <f t="shared" si="61"/>
        <v>0</v>
      </c>
      <c r="J212" s="389">
        <f t="shared" si="52"/>
        <v>0</v>
      </c>
      <c r="K212" s="378"/>
      <c r="L212" s="379">
        <f t="shared" si="53"/>
        <v>-26582.591493570719</v>
      </c>
      <c r="M212" s="388">
        <f t="shared" si="57"/>
        <v>118776.97267945611</v>
      </c>
      <c r="N212" s="390">
        <f t="shared" si="54"/>
        <v>92194.381185885402</v>
      </c>
      <c r="O212" s="381"/>
      <c r="P212" s="391">
        <f>Données!AC212</f>
        <v>0</v>
      </c>
      <c r="Q212" s="392">
        <f>Données!AD212</f>
        <v>0</v>
      </c>
      <c r="R212" s="393">
        <f t="shared" si="58"/>
        <v>0</v>
      </c>
      <c r="S212" s="394">
        <f t="shared" si="59"/>
        <v>0</v>
      </c>
      <c r="T212" s="393">
        <f t="shared" si="60"/>
        <v>20228.604748201818</v>
      </c>
      <c r="U212" s="395">
        <f t="shared" si="55"/>
        <v>20228.604748201818</v>
      </c>
    </row>
    <row r="213" spans="1:21" x14ac:dyDescent="0.25">
      <c r="A213" s="202">
        <f>Données!A213</f>
        <v>5748</v>
      </c>
      <c r="B213" s="203" t="str">
        <f>Données!B213</f>
        <v>Bretonnières</v>
      </c>
      <c r="C213" s="387">
        <f>Données!C213</f>
        <v>261</v>
      </c>
      <c r="D213" s="379">
        <f t="shared" si="51"/>
        <v>261</v>
      </c>
      <c r="E213" s="379">
        <f t="shared" si="56"/>
        <v>0</v>
      </c>
      <c r="F213" s="388">
        <f t="shared" si="61"/>
        <v>0</v>
      </c>
      <c r="G213" s="378">
        <f t="shared" si="61"/>
        <v>0</v>
      </c>
      <c r="H213" s="379">
        <f t="shared" si="61"/>
        <v>0</v>
      </c>
      <c r="I213" s="388">
        <f t="shared" si="61"/>
        <v>0</v>
      </c>
      <c r="J213" s="389">
        <f t="shared" si="52"/>
        <v>0</v>
      </c>
      <c r="K213" s="378"/>
      <c r="L213" s="379">
        <f t="shared" si="53"/>
        <v>-34690.281899109788</v>
      </c>
      <c r="M213" s="388">
        <f t="shared" si="57"/>
        <v>155003.94934669023</v>
      </c>
      <c r="N213" s="390">
        <f t="shared" si="54"/>
        <v>120313.66744758045</v>
      </c>
      <c r="O213" s="381"/>
      <c r="P213" s="391">
        <f>Données!AC213</f>
        <v>0</v>
      </c>
      <c r="Q213" s="392">
        <f>Données!AD213</f>
        <v>0</v>
      </c>
      <c r="R213" s="393">
        <f t="shared" si="58"/>
        <v>0</v>
      </c>
      <c r="S213" s="394">
        <f t="shared" si="59"/>
        <v>0</v>
      </c>
      <c r="T213" s="393">
        <f t="shared" si="60"/>
        <v>26398.329196403371</v>
      </c>
      <c r="U213" s="395">
        <f t="shared" si="55"/>
        <v>26398.329196403371</v>
      </c>
    </row>
    <row r="214" spans="1:21" x14ac:dyDescent="0.25">
      <c r="A214" s="202">
        <f>Données!A214</f>
        <v>5749</v>
      </c>
      <c r="B214" s="203" t="str">
        <f>Données!B214</f>
        <v>Chavornay</v>
      </c>
      <c r="C214" s="387">
        <f>Données!C214</f>
        <v>5442</v>
      </c>
      <c r="D214" s="379">
        <f t="shared" si="51"/>
        <v>1000</v>
      </c>
      <c r="E214" s="379">
        <f t="shared" si="56"/>
        <v>2000</v>
      </c>
      <c r="F214" s="388">
        <f t="shared" si="61"/>
        <v>2442</v>
      </c>
      <c r="G214" s="378">
        <f t="shared" si="61"/>
        <v>0</v>
      </c>
      <c r="H214" s="379">
        <f t="shared" si="61"/>
        <v>0</v>
      </c>
      <c r="I214" s="388">
        <f t="shared" si="61"/>
        <v>0</v>
      </c>
      <c r="J214" s="389">
        <f t="shared" si="52"/>
        <v>0</v>
      </c>
      <c r="K214" s="378"/>
      <c r="L214" s="379">
        <f t="shared" si="53"/>
        <v>-2500092.7299703266</v>
      </c>
      <c r="M214" s="388">
        <f t="shared" si="57"/>
        <v>3231921.4266080009</v>
      </c>
      <c r="N214" s="390">
        <f t="shared" si="54"/>
        <v>731828.69663767423</v>
      </c>
      <c r="O214" s="381"/>
      <c r="P214" s="391">
        <f>Données!AC214</f>
        <v>0</v>
      </c>
      <c r="Q214" s="392">
        <f>Données!AD214</f>
        <v>0</v>
      </c>
      <c r="R214" s="393">
        <f t="shared" si="58"/>
        <v>0</v>
      </c>
      <c r="S214" s="394">
        <f t="shared" si="59"/>
        <v>0</v>
      </c>
      <c r="T214" s="393">
        <f t="shared" si="60"/>
        <v>550420.33519857144</v>
      </c>
      <c r="U214" s="395">
        <f t="shared" si="55"/>
        <v>550420.33519857144</v>
      </c>
    </row>
    <row r="215" spans="1:21" x14ac:dyDescent="0.25">
      <c r="A215" s="202">
        <f>Données!A215</f>
        <v>5750</v>
      </c>
      <c r="B215" s="203" t="str">
        <f>Données!B215</f>
        <v>Les Clées</v>
      </c>
      <c r="C215" s="387">
        <f>Données!C215</f>
        <v>194</v>
      </c>
      <c r="D215" s="379">
        <f t="shared" si="51"/>
        <v>194</v>
      </c>
      <c r="E215" s="379">
        <f t="shared" si="56"/>
        <v>0</v>
      </c>
      <c r="F215" s="388">
        <f t="shared" si="61"/>
        <v>0</v>
      </c>
      <c r="G215" s="378">
        <f t="shared" si="61"/>
        <v>0</v>
      </c>
      <c r="H215" s="379">
        <f t="shared" si="61"/>
        <v>0</v>
      </c>
      <c r="I215" s="388">
        <f t="shared" si="61"/>
        <v>0</v>
      </c>
      <c r="J215" s="389">
        <f t="shared" si="52"/>
        <v>0</v>
      </c>
      <c r="K215" s="378"/>
      <c r="L215" s="379">
        <f t="shared" si="53"/>
        <v>-25785.113748763597</v>
      </c>
      <c r="M215" s="388">
        <f t="shared" si="57"/>
        <v>115213.66349907243</v>
      </c>
      <c r="N215" s="390">
        <f t="shared" si="54"/>
        <v>89428.549750308826</v>
      </c>
      <c r="O215" s="381"/>
      <c r="P215" s="391">
        <f>Données!AC215</f>
        <v>0</v>
      </c>
      <c r="Q215" s="392">
        <f>Données!AD215</f>
        <v>0</v>
      </c>
      <c r="R215" s="393">
        <f t="shared" si="58"/>
        <v>0</v>
      </c>
      <c r="S215" s="394">
        <f t="shared" si="59"/>
        <v>0</v>
      </c>
      <c r="T215" s="393">
        <f t="shared" si="60"/>
        <v>19621.746605755765</v>
      </c>
      <c r="U215" s="395">
        <f t="shared" si="55"/>
        <v>19621.746605755765</v>
      </c>
    </row>
    <row r="216" spans="1:21" x14ac:dyDescent="0.25">
      <c r="A216" s="202">
        <f>Données!A216</f>
        <v>5752</v>
      </c>
      <c r="B216" s="203" t="str">
        <f>Données!B216</f>
        <v>Croy</v>
      </c>
      <c r="C216" s="387">
        <f>Données!C216</f>
        <v>403</v>
      </c>
      <c r="D216" s="379">
        <f t="shared" si="51"/>
        <v>403</v>
      </c>
      <c r="E216" s="379">
        <f t="shared" si="56"/>
        <v>0</v>
      </c>
      <c r="F216" s="388">
        <f t="shared" si="61"/>
        <v>0</v>
      </c>
      <c r="G216" s="378">
        <f t="shared" si="61"/>
        <v>0</v>
      </c>
      <c r="H216" s="379">
        <f t="shared" si="61"/>
        <v>0</v>
      </c>
      <c r="I216" s="388">
        <f t="shared" si="61"/>
        <v>0</v>
      </c>
      <c r="J216" s="389">
        <f t="shared" si="52"/>
        <v>0</v>
      </c>
      <c r="K216" s="378"/>
      <c r="L216" s="379">
        <f t="shared" si="53"/>
        <v>-53563.921859545</v>
      </c>
      <c r="M216" s="388">
        <f t="shared" si="57"/>
        <v>239335.59994910407</v>
      </c>
      <c r="N216" s="390">
        <f t="shared" si="54"/>
        <v>185771.67808955908</v>
      </c>
      <c r="O216" s="381"/>
      <c r="P216" s="391">
        <f>Données!AC216</f>
        <v>0</v>
      </c>
      <c r="Q216" s="392">
        <f>Données!AD216</f>
        <v>0</v>
      </c>
      <c r="R216" s="393">
        <f t="shared" si="58"/>
        <v>0</v>
      </c>
      <c r="S216" s="394">
        <f t="shared" si="59"/>
        <v>0</v>
      </c>
      <c r="T216" s="393">
        <f t="shared" si="60"/>
        <v>40760.638567626665</v>
      </c>
      <c r="U216" s="395">
        <f t="shared" si="55"/>
        <v>40760.638567626665</v>
      </c>
    </row>
    <row r="217" spans="1:21" x14ac:dyDescent="0.25">
      <c r="A217" s="202">
        <f>Données!A217</f>
        <v>5754</v>
      </c>
      <c r="B217" s="203" t="str">
        <f>Données!B217</f>
        <v>Juriens</v>
      </c>
      <c r="C217" s="387">
        <f>Données!C217</f>
        <v>348</v>
      </c>
      <c r="D217" s="379">
        <f t="shared" si="51"/>
        <v>348</v>
      </c>
      <c r="E217" s="379">
        <f t="shared" si="56"/>
        <v>0</v>
      </c>
      <c r="F217" s="388">
        <f t="shared" si="61"/>
        <v>0</v>
      </c>
      <c r="G217" s="378">
        <f t="shared" si="61"/>
        <v>0</v>
      </c>
      <c r="H217" s="379">
        <f t="shared" si="61"/>
        <v>0</v>
      </c>
      <c r="I217" s="388">
        <f t="shared" si="61"/>
        <v>0</v>
      </c>
      <c r="J217" s="389">
        <f t="shared" si="52"/>
        <v>0</v>
      </c>
      <c r="K217" s="378"/>
      <c r="L217" s="379">
        <f t="shared" si="53"/>
        <v>-46253.709198813056</v>
      </c>
      <c r="M217" s="388">
        <f t="shared" si="57"/>
        <v>206671.93246225364</v>
      </c>
      <c r="N217" s="390">
        <f t="shared" si="54"/>
        <v>160418.2232634406</v>
      </c>
      <c r="O217" s="381"/>
      <c r="P217" s="391">
        <f>Données!AC217</f>
        <v>0</v>
      </c>
      <c r="Q217" s="392">
        <f>Données!AD217</f>
        <v>0</v>
      </c>
      <c r="R217" s="393">
        <f t="shared" si="58"/>
        <v>0</v>
      </c>
      <c r="S217" s="394">
        <f t="shared" si="59"/>
        <v>0</v>
      </c>
      <c r="T217" s="393">
        <f t="shared" si="60"/>
        <v>35197.772261871163</v>
      </c>
      <c r="U217" s="395">
        <f t="shared" si="55"/>
        <v>35197.772261871163</v>
      </c>
    </row>
    <row r="218" spans="1:21" x14ac:dyDescent="0.25">
      <c r="A218" s="202">
        <f>Données!A218</f>
        <v>5755</v>
      </c>
      <c r="B218" s="203" t="str">
        <f>Données!B218</f>
        <v>Lignerolle</v>
      </c>
      <c r="C218" s="387">
        <f>Données!C218</f>
        <v>463</v>
      </c>
      <c r="D218" s="379">
        <f t="shared" si="51"/>
        <v>463</v>
      </c>
      <c r="E218" s="379">
        <f t="shared" si="56"/>
        <v>0</v>
      </c>
      <c r="F218" s="388">
        <f t="shared" si="61"/>
        <v>0</v>
      </c>
      <c r="G218" s="378">
        <f t="shared" si="61"/>
        <v>0</v>
      </c>
      <c r="H218" s="379">
        <f t="shared" si="61"/>
        <v>0</v>
      </c>
      <c r="I218" s="388">
        <f t="shared" si="61"/>
        <v>0</v>
      </c>
      <c r="J218" s="389">
        <f t="shared" si="52"/>
        <v>0</v>
      </c>
      <c r="K218" s="378"/>
      <c r="L218" s="379">
        <f t="shared" si="53"/>
        <v>-61538.699307616218</v>
      </c>
      <c r="M218" s="388">
        <f t="shared" si="57"/>
        <v>274968.69175294088</v>
      </c>
      <c r="N218" s="390">
        <f t="shared" si="54"/>
        <v>213429.99244532466</v>
      </c>
      <c r="O218" s="381"/>
      <c r="P218" s="391">
        <f>Données!AC218</f>
        <v>0</v>
      </c>
      <c r="Q218" s="392">
        <f>Données!AD218</f>
        <v>0</v>
      </c>
      <c r="R218" s="393">
        <f t="shared" si="58"/>
        <v>0</v>
      </c>
      <c r="S218" s="394">
        <f t="shared" si="59"/>
        <v>0</v>
      </c>
      <c r="T218" s="393">
        <f t="shared" si="60"/>
        <v>46829.219992087208</v>
      </c>
      <c r="U218" s="395">
        <f t="shared" si="55"/>
        <v>46829.219992087208</v>
      </c>
    </row>
    <row r="219" spans="1:21" x14ac:dyDescent="0.25">
      <c r="A219" s="202">
        <f>Données!A219</f>
        <v>5756</v>
      </c>
      <c r="B219" s="203" t="str">
        <f>Données!B219</f>
        <v>Montcherand</v>
      </c>
      <c r="C219" s="387">
        <f>Données!C219</f>
        <v>489</v>
      </c>
      <c r="D219" s="379">
        <f t="shared" si="51"/>
        <v>489</v>
      </c>
      <c r="E219" s="379">
        <f t="shared" si="56"/>
        <v>0</v>
      </c>
      <c r="F219" s="388">
        <f t="shared" ref="F219:I228" si="62">IF($C219&lt;F$4,0,IF($C219&gt;F$5,F$5-F$4,$C219-F$4))</f>
        <v>0</v>
      </c>
      <c r="G219" s="378">
        <f t="shared" si="62"/>
        <v>0</v>
      </c>
      <c r="H219" s="379">
        <f t="shared" si="62"/>
        <v>0</v>
      </c>
      <c r="I219" s="388">
        <f t="shared" si="62"/>
        <v>0</v>
      </c>
      <c r="J219" s="389">
        <f t="shared" si="52"/>
        <v>0</v>
      </c>
      <c r="K219" s="378"/>
      <c r="L219" s="379">
        <f t="shared" si="53"/>
        <v>-64994.436201780409</v>
      </c>
      <c r="M219" s="388">
        <f t="shared" si="57"/>
        <v>290409.69820127019</v>
      </c>
      <c r="N219" s="390">
        <f t="shared" si="54"/>
        <v>225415.2619994898</v>
      </c>
      <c r="O219" s="381"/>
      <c r="P219" s="391">
        <f>Données!AC219</f>
        <v>0</v>
      </c>
      <c r="Q219" s="392">
        <f>Données!AD219</f>
        <v>0</v>
      </c>
      <c r="R219" s="393">
        <f t="shared" si="58"/>
        <v>0</v>
      </c>
      <c r="S219" s="394">
        <f t="shared" si="59"/>
        <v>0</v>
      </c>
      <c r="T219" s="393">
        <f t="shared" si="60"/>
        <v>49458.938609353441</v>
      </c>
      <c r="U219" s="395">
        <f t="shared" si="55"/>
        <v>49458.938609353441</v>
      </c>
    </row>
    <row r="220" spans="1:21" x14ac:dyDescent="0.25">
      <c r="A220" s="202">
        <f>Données!A220</f>
        <v>5757</v>
      </c>
      <c r="B220" s="203" t="str">
        <f>Données!B220</f>
        <v>Orbe</v>
      </c>
      <c r="C220" s="387">
        <f>Données!C220</f>
        <v>7962</v>
      </c>
      <c r="D220" s="379">
        <f t="shared" si="51"/>
        <v>1000</v>
      </c>
      <c r="E220" s="379">
        <f t="shared" si="56"/>
        <v>2000</v>
      </c>
      <c r="F220" s="388">
        <f t="shared" si="62"/>
        <v>4962</v>
      </c>
      <c r="G220" s="378">
        <f t="shared" si="62"/>
        <v>0</v>
      </c>
      <c r="H220" s="379">
        <f t="shared" si="62"/>
        <v>0</v>
      </c>
      <c r="I220" s="388">
        <f t="shared" si="62"/>
        <v>0</v>
      </c>
      <c r="J220" s="389">
        <f t="shared" si="52"/>
        <v>0</v>
      </c>
      <c r="K220" s="378"/>
      <c r="L220" s="379">
        <f t="shared" si="53"/>
        <v>-4174795.9940652819</v>
      </c>
      <c r="M220" s="388">
        <f t="shared" si="57"/>
        <v>4728511.282369148</v>
      </c>
      <c r="N220" s="390">
        <f t="shared" si="54"/>
        <v>553715.28830386605</v>
      </c>
      <c r="O220" s="381"/>
      <c r="P220" s="391">
        <f>Données!AC220</f>
        <v>362281</v>
      </c>
      <c r="Q220" s="392">
        <f>Données!AD220</f>
        <v>33706</v>
      </c>
      <c r="R220" s="393">
        <f t="shared" si="58"/>
        <v>395987</v>
      </c>
      <c r="S220" s="394">
        <f t="shared" si="59"/>
        <v>-237592.19999999998</v>
      </c>
      <c r="T220" s="393">
        <f t="shared" si="60"/>
        <v>805300.7550259144</v>
      </c>
      <c r="U220" s="395">
        <f t="shared" si="55"/>
        <v>567708.55502591445</v>
      </c>
    </row>
    <row r="221" spans="1:21" x14ac:dyDescent="0.25">
      <c r="A221" s="202">
        <f>Données!A221</f>
        <v>5758</v>
      </c>
      <c r="B221" s="203" t="str">
        <f>Données!B221</f>
        <v>La Praz</v>
      </c>
      <c r="C221" s="387">
        <f>Données!C221</f>
        <v>207</v>
      </c>
      <c r="D221" s="379">
        <f t="shared" si="51"/>
        <v>207</v>
      </c>
      <c r="E221" s="379">
        <f t="shared" si="56"/>
        <v>0</v>
      </c>
      <c r="F221" s="388">
        <f t="shared" si="62"/>
        <v>0</v>
      </c>
      <c r="G221" s="378">
        <f t="shared" si="62"/>
        <v>0</v>
      </c>
      <c r="H221" s="379">
        <f t="shared" si="62"/>
        <v>0</v>
      </c>
      <c r="I221" s="388">
        <f t="shared" si="62"/>
        <v>0</v>
      </c>
      <c r="J221" s="389">
        <f t="shared" si="52"/>
        <v>0</v>
      </c>
      <c r="K221" s="378"/>
      <c r="L221" s="379">
        <f t="shared" si="53"/>
        <v>-27512.982195845696</v>
      </c>
      <c r="M221" s="388">
        <f t="shared" si="57"/>
        <v>122934.16672323708</v>
      </c>
      <c r="N221" s="390">
        <f t="shared" si="54"/>
        <v>95421.184527391393</v>
      </c>
      <c r="O221" s="381"/>
      <c r="P221" s="391">
        <f>Données!AC221</f>
        <v>0</v>
      </c>
      <c r="Q221" s="392">
        <f>Données!AD221</f>
        <v>0</v>
      </c>
      <c r="R221" s="393">
        <f t="shared" si="58"/>
        <v>0</v>
      </c>
      <c r="S221" s="394">
        <f t="shared" si="59"/>
        <v>0</v>
      </c>
      <c r="T221" s="393">
        <f t="shared" si="60"/>
        <v>20936.605914388882</v>
      </c>
      <c r="U221" s="395">
        <f t="shared" si="55"/>
        <v>20936.605914388882</v>
      </c>
    </row>
    <row r="222" spans="1:21" x14ac:dyDescent="0.25">
      <c r="A222" s="202">
        <f>Données!A222</f>
        <v>5759</v>
      </c>
      <c r="B222" s="203" t="str">
        <f>Données!B222</f>
        <v>Premier</v>
      </c>
      <c r="C222" s="387">
        <f>Données!C222</f>
        <v>228</v>
      </c>
      <c r="D222" s="379">
        <f t="shared" si="51"/>
        <v>228</v>
      </c>
      <c r="E222" s="379">
        <f t="shared" si="56"/>
        <v>0</v>
      </c>
      <c r="F222" s="388">
        <f t="shared" si="62"/>
        <v>0</v>
      </c>
      <c r="G222" s="378">
        <f t="shared" si="62"/>
        <v>0</v>
      </c>
      <c r="H222" s="379">
        <f t="shared" si="62"/>
        <v>0</v>
      </c>
      <c r="I222" s="388">
        <f t="shared" si="62"/>
        <v>0</v>
      </c>
      <c r="J222" s="389">
        <f t="shared" si="52"/>
        <v>0</v>
      </c>
      <c r="K222" s="378"/>
      <c r="L222" s="379">
        <f t="shared" si="53"/>
        <v>-30304.15430267062</v>
      </c>
      <c r="M222" s="388">
        <f t="shared" si="57"/>
        <v>135405.74885457999</v>
      </c>
      <c r="N222" s="390">
        <f t="shared" si="54"/>
        <v>105101.59455190937</v>
      </c>
      <c r="O222" s="381"/>
      <c r="P222" s="391">
        <f>Données!AC222</f>
        <v>0</v>
      </c>
      <c r="Q222" s="392">
        <f>Données!AD222</f>
        <v>0</v>
      </c>
      <c r="R222" s="393">
        <f t="shared" si="58"/>
        <v>0</v>
      </c>
      <c r="S222" s="394">
        <f t="shared" si="59"/>
        <v>0</v>
      </c>
      <c r="T222" s="393">
        <f t="shared" si="60"/>
        <v>23060.609412950071</v>
      </c>
      <c r="U222" s="395">
        <f t="shared" si="55"/>
        <v>23060.609412950071</v>
      </c>
    </row>
    <row r="223" spans="1:21" x14ac:dyDescent="0.25">
      <c r="A223" s="202">
        <f>Données!A223</f>
        <v>5760</v>
      </c>
      <c r="B223" s="203" t="str">
        <f>Données!B223</f>
        <v>Rances</v>
      </c>
      <c r="C223" s="387">
        <f>Données!C223</f>
        <v>508</v>
      </c>
      <c r="D223" s="379">
        <f t="shared" si="51"/>
        <v>508</v>
      </c>
      <c r="E223" s="379">
        <f t="shared" si="56"/>
        <v>0</v>
      </c>
      <c r="F223" s="388">
        <f t="shared" si="62"/>
        <v>0</v>
      </c>
      <c r="G223" s="378">
        <f t="shared" si="62"/>
        <v>0</v>
      </c>
      <c r="H223" s="379">
        <f t="shared" si="62"/>
        <v>0</v>
      </c>
      <c r="I223" s="388">
        <f t="shared" si="62"/>
        <v>0</v>
      </c>
      <c r="J223" s="389">
        <f t="shared" si="52"/>
        <v>0</v>
      </c>
      <c r="K223" s="378"/>
      <c r="L223" s="379">
        <f t="shared" si="53"/>
        <v>-67519.782393669637</v>
      </c>
      <c r="M223" s="388">
        <f t="shared" si="57"/>
        <v>301693.51060581853</v>
      </c>
      <c r="N223" s="390">
        <f t="shared" si="54"/>
        <v>234173.72821214888</v>
      </c>
      <c r="O223" s="381"/>
      <c r="P223" s="391">
        <f>Données!AC223</f>
        <v>0</v>
      </c>
      <c r="Q223" s="392">
        <f>Données!AD223</f>
        <v>0</v>
      </c>
      <c r="R223" s="393">
        <f t="shared" si="58"/>
        <v>0</v>
      </c>
      <c r="S223" s="394">
        <f t="shared" si="59"/>
        <v>0</v>
      </c>
      <c r="T223" s="393">
        <f t="shared" si="60"/>
        <v>51380.656060432615</v>
      </c>
      <c r="U223" s="395">
        <f t="shared" si="55"/>
        <v>51380.656060432615</v>
      </c>
    </row>
    <row r="224" spans="1:21" x14ac:dyDescent="0.25">
      <c r="A224" s="202">
        <f>Données!A224</f>
        <v>5761</v>
      </c>
      <c r="B224" s="203" t="str">
        <f>Données!B224</f>
        <v>Romainmôtier-Envy</v>
      </c>
      <c r="C224" s="387">
        <f>Données!C224</f>
        <v>560</v>
      </c>
      <c r="D224" s="379">
        <f t="shared" si="51"/>
        <v>560</v>
      </c>
      <c r="E224" s="379">
        <f t="shared" si="56"/>
        <v>0</v>
      </c>
      <c r="F224" s="388">
        <f t="shared" si="62"/>
        <v>0</v>
      </c>
      <c r="G224" s="378">
        <f t="shared" si="62"/>
        <v>0</v>
      </c>
      <c r="H224" s="379">
        <f t="shared" si="62"/>
        <v>0</v>
      </c>
      <c r="I224" s="388">
        <f t="shared" si="62"/>
        <v>0</v>
      </c>
      <c r="J224" s="389">
        <f t="shared" si="52"/>
        <v>0</v>
      </c>
      <c r="K224" s="378"/>
      <c r="L224" s="379">
        <f t="shared" si="53"/>
        <v>-74431.256181998018</v>
      </c>
      <c r="M224" s="388">
        <f t="shared" si="57"/>
        <v>332575.52350247715</v>
      </c>
      <c r="N224" s="390">
        <f t="shared" si="54"/>
        <v>258144.26732047915</v>
      </c>
      <c r="O224" s="381"/>
      <c r="P224" s="391">
        <f>Données!AC224</f>
        <v>0</v>
      </c>
      <c r="Q224" s="392">
        <f>Données!AD224</f>
        <v>0</v>
      </c>
      <c r="R224" s="393">
        <f t="shared" si="58"/>
        <v>0</v>
      </c>
      <c r="S224" s="394">
        <f t="shared" si="59"/>
        <v>0</v>
      </c>
      <c r="T224" s="393">
        <f t="shared" si="60"/>
        <v>56640.093294965089</v>
      </c>
      <c r="U224" s="395">
        <f t="shared" si="55"/>
        <v>56640.093294965089</v>
      </c>
    </row>
    <row r="225" spans="1:21" x14ac:dyDescent="0.25">
      <c r="A225" s="202">
        <f>Données!A225</f>
        <v>5762</v>
      </c>
      <c r="B225" s="203" t="str">
        <f>Données!B225</f>
        <v>Sergey</v>
      </c>
      <c r="C225" s="387">
        <f>Données!C225</f>
        <v>133</v>
      </c>
      <c r="D225" s="379">
        <f t="shared" si="51"/>
        <v>133</v>
      </c>
      <c r="E225" s="379">
        <f t="shared" si="56"/>
        <v>0</v>
      </c>
      <c r="F225" s="388">
        <f t="shared" si="62"/>
        <v>0</v>
      </c>
      <c r="G225" s="378">
        <f t="shared" si="62"/>
        <v>0</v>
      </c>
      <c r="H225" s="379">
        <f t="shared" si="62"/>
        <v>0</v>
      </c>
      <c r="I225" s="388">
        <f t="shared" si="62"/>
        <v>0</v>
      </c>
      <c r="J225" s="389">
        <f t="shared" si="52"/>
        <v>0</v>
      </c>
      <c r="K225" s="378"/>
      <c r="L225" s="379">
        <f t="shared" si="53"/>
        <v>-17677.423343224527</v>
      </c>
      <c r="M225" s="388">
        <f t="shared" si="57"/>
        <v>78986.68683183832</v>
      </c>
      <c r="N225" s="390">
        <f t="shared" si="54"/>
        <v>61309.263488613797</v>
      </c>
      <c r="O225" s="381"/>
      <c r="P225" s="391">
        <f>Données!AC225</f>
        <v>0</v>
      </c>
      <c r="Q225" s="392">
        <f>Données!AD225</f>
        <v>0</v>
      </c>
      <c r="R225" s="393">
        <f t="shared" si="58"/>
        <v>0</v>
      </c>
      <c r="S225" s="394">
        <f t="shared" si="59"/>
        <v>0</v>
      </c>
      <c r="T225" s="393">
        <f t="shared" si="60"/>
        <v>13452.022157554209</v>
      </c>
      <c r="U225" s="395">
        <f t="shared" si="55"/>
        <v>13452.022157554209</v>
      </c>
    </row>
    <row r="226" spans="1:21" x14ac:dyDescent="0.25">
      <c r="A226" s="202">
        <f>Données!A226</f>
        <v>5763</v>
      </c>
      <c r="B226" s="203" t="str">
        <f>Données!B226</f>
        <v>Valeyres-sous-Rances</v>
      </c>
      <c r="C226" s="387">
        <f>Données!C226</f>
        <v>583</v>
      </c>
      <c r="D226" s="379">
        <f t="shared" si="51"/>
        <v>583</v>
      </c>
      <c r="E226" s="379">
        <f t="shared" si="56"/>
        <v>0</v>
      </c>
      <c r="F226" s="388">
        <f t="shared" si="62"/>
        <v>0</v>
      </c>
      <c r="G226" s="378">
        <f t="shared" si="62"/>
        <v>0</v>
      </c>
      <c r="H226" s="379">
        <f t="shared" si="62"/>
        <v>0</v>
      </c>
      <c r="I226" s="388">
        <f t="shared" si="62"/>
        <v>0</v>
      </c>
      <c r="J226" s="389">
        <f t="shared" si="52"/>
        <v>0</v>
      </c>
      <c r="K226" s="378"/>
      <c r="L226" s="379">
        <f t="shared" si="53"/>
        <v>-77488.254203758654</v>
      </c>
      <c r="M226" s="388">
        <f t="shared" si="57"/>
        <v>346234.87536061456</v>
      </c>
      <c r="N226" s="390">
        <f t="shared" si="54"/>
        <v>268746.62115685589</v>
      </c>
      <c r="O226" s="381"/>
      <c r="P226" s="391">
        <f>Données!AC226</f>
        <v>0</v>
      </c>
      <c r="Q226" s="392">
        <f>Données!AD226</f>
        <v>0</v>
      </c>
      <c r="R226" s="393">
        <f t="shared" si="58"/>
        <v>0</v>
      </c>
      <c r="S226" s="394">
        <f t="shared" si="59"/>
        <v>0</v>
      </c>
      <c r="T226" s="393">
        <f t="shared" si="60"/>
        <v>58966.382841008301</v>
      </c>
      <c r="U226" s="395">
        <f t="shared" si="55"/>
        <v>58966.382841008301</v>
      </c>
    </row>
    <row r="227" spans="1:21" x14ac:dyDescent="0.25">
      <c r="A227" s="202">
        <f>Données!A227</f>
        <v>5764</v>
      </c>
      <c r="B227" s="203" t="str">
        <f>Données!B227</f>
        <v>Vallorbe</v>
      </c>
      <c r="C227" s="387">
        <f>Données!C227</f>
        <v>4328</v>
      </c>
      <c r="D227" s="379">
        <f t="shared" si="51"/>
        <v>1000</v>
      </c>
      <c r="E227" s="379">
        <f t="shared" si="56"/>
        <v>2000</v>
      </c>
      <c r="F227" s="388">
        <f t="shared" si="62"/>
        <v>1328</v>
      </c>
      <c r="G227" s="378">
        <f t="shared" si="62"/>
        <v>0</v>
      </c>
      <c r="H227" s="379">
        <f t="shared" si="62"/>
        <v>0</v>
      </c>
      <c r="I227" s="388">
        <f t="shared" si="62"/>
        <v>0</v>
      </c>
      <c r="J227" s="389">
        <f t="shared" si="52"/>
        <v>0</v>
      </c>
      <c r="K227" s="378"/>
      <c r="L227" s="379">
        <f t="shared" si="53"/>
        <v>-1759767.5568743818</v>
      </c>
      <c r="M227" s="388">
        <f t="shared" si="57"/>
        <v>2570333.6887834305</v>
      </c>
      <c r="N227" s="390">
        <f t="shared" si="54"/>
        <v>810566.13190904865</v>
      </c>
      <c r="O227" s="381"/>
      <c r="P227" s="391">
        <f>Données!AC227</f>
        <v>0</v>
      </c>
      <c r="Q227" s="392">
        <f>Données!AD227</f>
        <v>0</v>
      </c>
      <c r="R227" s="393">
        <f t="shared" si="58"/>
        <v>0</v>
      </c>
      <c r="S227" s="394">
        <f t="shared" si="59"/>
        <v>0</v>
      </c>
      <c r="T227" s="393">
        <f t="shared" si="60"/>
        <v>437747.00675108732</v>
      </c>
      <c r="U227" s="395">
        <f t="shared" si="55"/>
        <v>437747.00675108732</v>
      </c>
    </row>
    <row r="228" spans="1:21" x14ac:dyDescent="0.25">
      <c r="A228" s="202">
        <f>Données!A228</f>
        <v>5765</v>
      </c>
      <c r="B228" s="203" t="str">
        <f>Données!B228</f>
        <v>Vaulion</v>
      </c>
      <c r="C228" s="387">
        <f>Données!C228</f>
        <v>489</v>
      </c>
      <c r="D228" s="379">
        <f t="shared" si="51"/>
        <v>489</v>
      </c>
      <c r="E228" s="379">
        <f t="shared" si="56"/>
        <v>0</v>
      </c>
      <c r="F228" s="388">
        <f t="shared" si="62"/>
        <v>0</v>
      </c>
      <c r="G228" s="378">
        <f t="shared" si="62"/>
        <v>0</v>
      </c>
      <c r="H228" s="379">
        <f t="shared" si="62"/>
        <v>0</v>
      </c>
      <c r="I228" s="388">
        <f t="shared" si="62"/>
        <v>0</v>
      </c>
      <c r="J228" s="389">
        <f t="shared" si="52"/>
        <v>0</v>
      </c>
      <c r="K228" s="378"/>
      <c r="L228" s="379">
        <f t="shared" si="53"/>
        <v>-64994.436201780409</v>
      </c>
      <c r="M228" s="388">
        <f t="shared" si="57"/>
        <v>290409.69820127019</v>
      </c>
      <c r="N228" s="390">
        <f t="shared" si="54"/>
        <v>225415.2619994898</v>
      </c>
      <c r="O228" s="381"/>
      <c r="P228" s="391">
        <f>Données!AC228</f>
        <v>0</v>
      </c>
      <c r="Q228" s="392">
        <f>Données!AD228</f>
        <v>0</v>
      </c>
      <c r="R228" s="393">
        <f t="shared" si="58"/>
        <v>0</v>
      </c>
      <c r="S228" s="394">
        <f t="shared" si="59"/>
        <v>0</v>
      </c>
      <c r="T228" s="393">
        <f t="shared" si="60"/>
        <v>49458.938609353441</v>
      </c>
      <c r="U228" s="395">
        <f t="shared" si="55"/>
        <v>49458.938609353441</v>
      </c>
    </row>
    <row r="229" spans="1:21" x14ac:dyDescent="0.25">
      <c r="A229" s="202">
        <f>Données!A229</f>
        <v>5766</v>
      </c>
      <c r="B229" s="203" t="str">
        <f>Données!B229</f>
        <v>Vuiteboeuf</v>
      </c>
      <c r="C229" s="387">
        <f>Données!C229</f>
        <v>607</v>
      </c>
      <c r="D229" s="379">
        <f t="shared" si="51"/>
        <v>607</v>
      </c>
      <c r="E229" s="379">
        <f t="shared" si="56"/>
        <v>0</v>
      </c>
      <c r="F229" s="388">
        <f t="shared" ref="F229:I238" si="63">IF($C229&lt;F$4,0,IF($C229&gt;F$5,F$5-F$4,$C229-F$4))</f>
        <v>0</v>
      </c>
      <c r="G229" s="378">
        <f t="shared" si="63"/>
        <v>0</v>
      </c>
      <c r="H229" s="379">
        <f t="shared" si="63"/>
        <v>0</v>
      </c>
      <c r="I229" s="388">
        <f t="shared" si="63"/>
        <v>0</v>
      </c>
      <c r="J229" s="389">
        <f t="shared" si="52"/>
        <v>0</v>
      </c>
      <c r="K229" s="378"/>
      <c r="L229" s="379">
        <f t="shared" si="53"/>
        <v>-80678.165182987141</v>
      </c>
      <c r="M229" s="388">
        <f t="shared" si="57"/>
        <v>360488.11208214931</v>
      </c>
      <c r="N229" s="390">
        <f t="shared" si="54"/>
        <v>279809.94689916214</v>
      </c>
      <c r="O229" s="381"/>
      <c r="P229" s="391">
        <f>Données!AC229</f>
        <v>0</v>
      </c>
      <c r="Q229" s="392">
        <f>Données!AD229</f>
        <v>0</v>
      </c>
      <c r="R229" s="393">
        <f t="shared" si="58"/>
        <v>0</v>
      </c>
      <c r="S229" s="394">
        <f t="shared" si="59"/>
        <v>0</v>
      </c>
      <c r="T229" s="393">
        <f t="shared" si="60"/>
        <v>61393.815410792515</v>
      </c>
      <c r="U229" s="395">
        <f t="shared" si="55"/>
        <v>61393.815410792515</v>
      </c>
    </row>
    <row r="230" spans="1:21" x14ac:dyDescent="0.25">
      <c r="A230" s="202">
        <f>Données!A230</f>
        <v>5785</v>
      </c>
      <c r="B230" s="203" t="str">
        <f>Données!B230</f>
        <v>Corcelles-le-Jorat</v>
      </c>
      <c r="C230" s="387">
        <f>Données!C230</f>
        <v>499</v>
      </c>
      <c r="D230" s="379">
        <f t="shared" si="51"/>
        <v>499</v>
      </c>
      <c r="E230" s="379">
        <f t="shared" si="56"/>
        <v>0</v>
      </c>
      <c r="F230" s="388">
        <f t="shared" si="63"/>
        <v>0</v>
      </c>
      <c r="G230" s="378">
        <f t="shared" si="63"/>
        <v>0</v>
      </c>
      <c r="H230" s="379">
        <f t="shared" si="63"/>
        <v>0</v>
      </c>
      <c r="I230" s="388">
        <f t="shared" si="63"/>
        <v>0</v>
      </c>
      <c r="J230" s="389">
        <f t="shared" si="52"/>
        <v>0</v>
      </c>
      <c r="K230" s="378"/>
      <c r="L230" s="379">
        <f t="shared" si="53"/>
        <v>-66323.565776458941</v>
      </c>
      <c r="M230" s="388">
        <f t="shared" si="57"/>
        <v>296348.546835243</v>
      </c>
      <c r="N230" s="390">
        <f t="shared" si="54"/>
        <v>230024.98105878406</v>
      </c>
      <c r="O230" s="381"/>
      <c r="P230" s="391">
        <f>Données!AC230</f>
        <v>0</v>
      </c>
      <c r="Q230" s="392">
        <f>Données!AD230</f>
        <v>0</v>
      </c>
      <c r="R230" s="393">
        <f t="shared" si="58"/>
        <v>0</v>
      </c>
      <c r="S230" s="394">
        <f t="shared" si="59"/>
        <v>0</v>
      </c>
      <c r="T230" s="393">
        <f t="shared" si="60"/>
        <v>50470.368846763537</v>
      </c>
      <c r="U230" s="395">
        <f t="shared" si="55"/>
        <v>50470.368846763537</v>
      </c>
    </row>
    <row r="231" spans="1:21" x14ac:dyDescent="0.25">
      <c r="A231" s="202">
        <f>Données!A231</f>
        <v>5790</v>
      </c>
      <c r="B231" s="203" t="str">
        <f>Données!B231</f>
        <v>Maracon</v>
      </c>
      <c r="C231" s="387">
        <f>Données!C231</f>
        <v>569</v>
      </c>
      <c r="D231" s="379">
        <f t="shared" si="51"/>
        <v>569</v>
      </c>
      <c r="E231" s="379">
        <f t="shared" si="56"/>
        <v>0</v>
      </c>
      <c r="F231" s="388">
        <f t="shared" si="63"/>
        <v>0</v>
      </c>
      <c r="G231" s="378">
        <f t="shared" si="63"/>
        <v>0</v>
      </c>
      <c r="H231" s="379">
        <f t="shared" si="63"/>
        <v>0</v>
      </c>
      <c r="I231" s="388">
        <f t="shared" si="63"/>
        <v>0</v>
      </c>
      <c r="J231" s="389">
        <f t="shared" si="52"/>
        <v>0</v>
      </c>
      <c r="K231" s="378"/>
      <c r="L231" s="379">
        <f t="shared" si="53"/>
        <v>-75627.472799208699</v>
      </c>
      <c r="M231" s="388">
        <f t="shared" si="57"/>
        <v>337920.48727305263</v>
      </c>
      <c r="N231" s="390">
        <f t="shared" si="54"/>
        <v>262293.01447384391</v>
      </c>
      <c r="O231" s="381"/>
      <c r="P231" s="391">
        <f>Données!AC231</f>
        <v>0</v>
      </c>
      <c r="Q231" s="392">
        <f>Données!AD231</f>
        <v>0</v>
      </c>
      <c r="R231" s="393">
        <f t="shared" si="58"/>
        <v>0</v>
      </c>
      <c r="S231" s="394">
        <f t="shared" si="59"/>
        <v>0</v>
      </c>
      <c r="T231" s="393">
        <f t="shared" si="60"/>
        <v>57550.380508634174</v>
      </c>
      <c r="U231" s="395">
        <f t="shared" si="55"/>
        <v>57550.380508634174</v>
      </c>
    </row>
    <row r="232" spans="1:21" x14ac:dyDescent="0.25">
      <c r="A232" s="202">
        <f>Données!A232</f>
        <v>5792</v>
      </c>
      <c r="B232" s="203" t="str">
        <f>Données!B232</f>
        <v>Montpreveyres</v>
      </c>
      <c r="C232" s="387">
        <f>Données!C232</f>
        <v>653</v>
      </c>
      <c r="D232" s="379">
        <f t="shared" si="51"/>
        <v>653</v>
      </c>
      <c r="E232" s="379">
        <f t="shared" si="56"/>
        <v>0</v>
      </c>
      <c r="F232" s="388">
        <f t="shared" si="63"/>
        <v>0</v>
      </c>
      <c r="G232" s="378">
        <f t="shared" si="63"/>
        <v>0</v>
      </c>
      <c r="H232" s="379">
        <f t="shared" si="63"/>
        <v>0</v>
      </c>
      <c r="I232" s="388">
        <f t="shared" si="63"/>
        <v>0</v>
      </c>
      <c r="J232" s="389">
        <f t="shared" si="52"/>
        <v>0</v>
      </c>
      <c r="K232" s="378"/>
      <c r="L232" s="379">
        <f t="shared" si="53"/>
        <v>-86792.161226508397</v>
      </c>
      <c r="M232" s="388">
        <f t="shared" si="57"/>
        <v>387806.81579842424</v>
      </c>
      <c r="N232" s="390">
        <f t="shared" si="54"/>
        <v>301014.65457191586</v>
      </c>
      <c r="O232" s="381"/>
      <c r="P232" s="391">
        <f>Données!AC232</f>
        <v>0</v>
      </c>
      <c r="Q232" s="392">
        <f>Données!AD232</f>
        <v>0</v>
      </c>
      <c r="R232" s="393">
        <f t="shared" si="58"/>
        <v>0</v>
      </c>
      <c r="S232" s="394">
        <f t="shared" si="59"/>
        <v>0</v>
      </c>
      <c r="T232" s="393">
        <f t="shared" si="60"/>
        <v>66046.394502878931</v>
      </c>
      <c r="U232" s="395">
        <f t="shared" si="55"/>
        <v>66046.394502878931</v>
      </c>
    </row>
    <row r="233" spans="1:21" x14ac:dyDescent="0.25">
      <c r="A233" s="202">
        <f>Données!A233</f>
        <v>5798</v>
      </c>
      <c r="B233" s="203" t="str">
        <f>Données!B233</f>
        <v>Ropraz</v>
      </c>
      <c r="C233" s="387">
        <f>Données!C233</f>
        <v>529</v>
      </c>
      <c r="D233" s="379">
        <f t="shared" si="51"/>
        <v>529</v>
      </c>
      <c r="E233" s="379">
        <f t="shared" si="56"/>
        <v>0</v>
      </c>
      <c r="F233" s="388">
        <f t="shared" si="63"/>
        <v>0</v>
      </c>
      <c r="G233" s="378">
        <f t="shared" si="63"/>
        <v>0</v>
      </c>
      <c r="H233" s="379">
        <f t="shared" si="63"/>
        <v>0</v>
      </c>
      <c r="I233" s="388">
        <f t="shared" si="63"/>
        <v>0</v>
      </c>
      <c r="J233" s="389">
        <f t="shared" si="52"/>
        <v>0</v>
      </c>
      <c r="K233" s="378"/>
      <c r="L233" s="379">
        <f t="shared" si="53"/>
        <v>-70310.954500494554</v>
      </c>
      <c r="M233" s="388">
        <f t="shared" si="57"/>
        <v>314165.09273716144</v>
      </c>
      <c r="N233" s="390">
        <f t="shared" si="54"/>
        <v>243854.13823666688</v>
      </c>
      <c r="O233" s="381"/>
      <c r="P233" s="391">
        <f>Données!AC233</f>
        <v>0</v>
      </c>
      <c r="Q233" s="392">
        <f>Données!AD233</f>
        <v>0</v>
      </c>
      <c r="R233" s="393">
        <f t="shared" si="58"/>
        <v>0</v>
      </c>
      <c r="S233" s="394">
        <f t="shared" si="59"/>
        <v>0</v>
      </c>
      <c r="T233" s="393">
        <f t="shared" si="60"/>
        <v>53504.659558993808</v>
      </c>
      <c r="U233" s="395">
        <f t="shared" si="55"/>
        <v>53504.659558993808</v>
      </c>
    </row>
    <row r="234" spans="1:21" x14ac:dyDescent="0.25">
      <c r="A234" s="202">
        <f>Données!A234</f>
        <v>5799</v>
      </c>
      <c r="B234" s="203" t="str">
        <f>Données!B234</f>
        <v>Servion</v>
      </c>
      <c r="C234" s="387">
        <f>Données!C234</f>
        <v>2228</v>
      </c>
      <c r="D234" s="379">
        <f t="shared" si="51"/>
        <v>1000</v>
      </c>
      <c r="E234" s="379">
        <f t="shared" si="56"/>
        <v>1228</v>
      </c>
      <c r="F234" s="388">
        <f t="shared" si="63"/>
        <v>0</v>
      </c>
      <c r="G234" s="378">
        <f t="shared" si="63"/>
        <v>0</v>
      </c>
      <c r="H234" s="379">
        <f t="shared" si="63"/>
        <v>0</v>
      </c>
      <c r="I234" s="388">
        <f t="shared" si="63"/>
        <v>0</v>
      </c>
      <c r="J234" s="389">
        <f t="shared" si="52"/>
        <v>0</v>
      </c>
      <c r="K234" s="378"/>
      <c r="L234" s="379">
        <f t="shared" si="53"/>
        <v>-589920.87042532151</v>
      </c>
      <c r="M234" s="388">
        <f t="shared" si="57"/>
        <v>1323175.4756491412</v>
      </c>
      <c r="N234" s="390">
        <f t="shared" si="54"/>
        <v>733254.60522381973</v>
      </c>
      <c r="O234" s="381"/>
      <c r="P234" s="391">
        <f>Données!AC234</f>
        <v>0</v>
      </c>
      <c r="Q234" s="392">
        <f>Données!AD234</f>
        <v>0</v>
      </c>
      <c r="R234" s="393">
        <f t="shared" si="58"/>
        <v>0</v>
      </c>
      <c r="S234" s="394">
        <f t="shared" si="59"/>
        <v>0</v>
      </c>
      <c r="T234" s="393">
        <f t="shared" si="60"/>
        <v>225346.65689496824</v>
      </c>
      <c r="U234" s="395">
        <f t="shared" si="55"/>
        <v>225346.65689496824</v>
      </c>
    </row>
    <row r="235" spans="1:21" x14ac:dyDescent="0.25">
      <c r="A235" s="202">
        <f>Données!A235</f>
        <v>5803</v>
      </c>
      <c r="B235" s="203" t="str">
        <f>Données!B235</f>
        <v>Vulliens</v>
      </c>
      <c r="C235" s="387">
        <f>Données!C235</f>
        <v>628</v>
      </c>
      <c r="D235" s="379">
        <f t="shared" si="51"/>
        <v>628</v>
      </c>
      <c r="E235" s="379">
        <f t="shared" si="56"/>
        <v>0</v>
      </c>
      <c r="F235" s="388">
        <f t="shared" si="63"/>
        <v>0</v>
      </c>
      <c r="G235" s="378">
        <f t="shared" si="63"/>
        <v>0</v>
      </c>
      <c r="H235" s="379">
        <f t="shared" si="63"/>
        <v>0</v>
      </c>
      <c r="I235" s="388">
        <f t="shared" si="63"/>
        <v>0</v>
      </c>
      <c r="J235" s="389">
        <f t="shared" si="52"/>
        <v>0</v>
      </c>
      <c r="K235" s="378"/>
      <c r="L235" s="379">
        <f t="shared" si="53"/>
        <v>-83469.337289812058</v>
      </c>
      <c r="M235" s="388">
        <f t="shared" si="57"/>
        <v>372959.69421349221</v>
      </c>
      <c r="N235" s="390">
        <f t="shared" si="54"/>
        <v>289490.35692368017</v>
      </c>
      <c r="O235" s="381"/>
      <c r="P235" s="391">
        <f>Données!AC235</f>
        <v>0</v>
      </c>
      <c r="Q235" s="392">
        <f>Données!AD235</f>
        <v>0</v>
      </c>
      <c r="R235" s="393">
        <f t="shared" si="58"/>
        <v>0</v>
      </c>
      <c r="S235" s="394">
        <f t="shared" si="59"/>
        <v>0</v>
      </c>
      <c r="T235" s="393">
        <f t="shared" si="60"/>
        <v>63517.818909353708</v>
      </c>
      <c r="U235" s="395">
        <f t="shared" si="55"/>
        <v>63517.818909353708</v>
      </c>
    </row>
    <row r="236" spans="1:21" x14ac:dyDescent="0.25">
      <c r="A236" s="202">
        <f>Données!A236</f>
        <v>5804</v>
      </c>
      <c r="B236" s="203" t="str">
        <f>Données!B236</f>
        <v>Jorat-Menthue</v>
      </c>
      <c r="C236" s="387">
        <f>Données!C236</f>
        <v>1576</v>
      </c>
      <c r="D236" s="379">
        <f t="shared" si="51"/>
        <v>1000</v>
      </c>
      <c r="E236" s="379">
        <f t="shared" si="56"/>
        <v>576</v>
      </c>
      <c r="F236" s="388">
        <f t="shared" si="63"/>
        <v>0</v>
      </c>
      <c r="G236" s="378">
        <f t="shared" si="63"/>
        <v>0</v>
      </c>
      <c r="H236" s="379">
        <f t="shared" si="63"/>
        <v>0</v>
      </c>
      <c r="I236" s="388">
        <f t="shared" si="63"/>
        <v>0</v>
      </c>
      <c r="J236" s="389">
        <f t="shared" si="52"/>
        <v>0</v>
      </c>
      <c r="K236" s="378"/>
      <c r="L236" s="379">
        <f t="shared" si="53"/>
        <v>-347274.97527200793</v>
      </c>
      <c r="M236" s="388">
        <f t="shared" si="57"/>
        <v>935962.54471411416</v>
      </c>
      <c r="N236" s="390">
        <f t="shared" si="54"/>
        <v>588687.56944210618</v>
      </c>
      <c r="O236" s="381"/>
      <c r="P236" s="391">
        <f>Données!AC236</f>
        <v>0</v>
      </c>
      <c r="Q236" s="392">
        <f>Données!AD236</f>
        <v>0</v>
      </c>
      <c r="R236" s="393">
        <f t="shared" si="58"/>
        <v>0</v>
      </c>
      <c r="S236" s="394">
        <f t="shared" si="59"/>
        <v>0</v>
      </c>
      <c r="T236" s="393">
        <f t="shared" si="60"/>
        <v>159401.40541583032</v>
      </c>
      <c r="U236" s="395">
        <f t="shared" si="55"/>
        <v>159401.40541583032</v>
      </c>
    </row>
    <row r="237" spans="1:21" x14ac:dyDescent="0.25">
      <c r="A237" s="202">
        <f>Données!A237</f>
        <v>5805</v>
      </c>
      <c r="B237" s="203" t="str">
        <f>Données!B237</f>
        <v>Oron</v>
      </c>
      <c r="C237" s="387">
        <f>Données!C237</f>
        <v>6345</v>
      </c>
      <c r="D237" s="379">
        <f t="shared" si="51"/>
        <v>1000</v>
      </c>
      <c r="E237" s="379">
        <f t="shared" si="56"/>
        <v>2000</v>
      </c>
      <c r="F237" s="388">
        <f t="shared" si="63"/>
        <v>3345</v>
      </c>
      <c r="G237" s="378">
        <f t="shared" si="63"/>
        <v>0</v>
      </c>
      <c r="H237" s="379">
        <f t="shared" si="63"/>
        <v>0</v>
      </c>
      <c r="I237" s="388">
        <f t="shared" si="63"/>
        <v>0</v>
      </c>
      <c r="J237" s="389">
        <f t="shared" si="52"/>
        <v>0</v>
      </c>
      <c r="K237" s="378"/>
      <c r="L237" s="379">
        <f t="shared" si="53"/>
        <v>-3100194.7329376857</v>
      </c>
      <c r="M237" s="388">
        <f t="shared" si="57"/>
        <v>3768199.4582557455</v>
      </c>
      <c r="N237" s="390">
        <f t="shared" si="54"/>
        <v>668004.72531805979</v>
      </c>
      <c r="O237" s="381"/>
      <c r="P237" s="391">
        <f>Données!AC237</f>
        <v>0</v>
      </c>
      <c r="Q237" s="392">
        <f>Données!AD237</f>
        <v>0</v>
      </c>
      <c r="R237" s="393">
        <f t="shared" si="58"/>
        <v>0</v>
      </c>
      <c r="S237" s="394">
        <f t="shared" si="59"/>
        <v>0</v>
      </c>
      <c r="T237" s="393">
        <f t="shared" si="60"/>
        <v>641752.48563670262</v>
      </c>
      <c r="U237" s="395">
        <f t="shared" si="55"/>
        <v>641752.48563670262</v>
      </c>
    </row>
    <row r="238" spans="1:21" x14ac:dyDescent="0.25">
      <c r="A238" s="202">
        <f>Données!A238</f>
        <v>5806</v>
      </c>
      <c r="B238" s="203" t="str">
        <f>Données!B238</f>
        <v>Jorat-Mézières</v>
      </c>
      <c r="C238" s="387">
        <f>Données!C238</f>
        <v>3189</v>
      </c>
      <c r="D238" s="379">
        <f t="shared" si="51"/>
        <v>1000</v>
      </c>
      <c r="E238" s="379">
        <f t="shared" si="56"/>
        <v>2000</v>
      </c>
      <c r="F238" s="388">
        <f t="shared" si="63"/>
        <v>189</v>
      </c>
      <c r="G238" s="378">
        <f t="shared" si="63"/>
        <v>0</v>
      </c>
      <c r="H238" s="379">
        <f t="shared" si="63"/>
        <v>0</v>
      </c>
      <c r="I238" s="388">
        <f t="shared" si="63"/>
        <v>0</v>
      </c>
      <c r="J238" s="389">
        <f t="shared" si="52"/>
        <v>0</v>
      </c>
      <c r="K238" s="378"/>
      <c r="L238" s="379">
        <f t="shared" si="53"/>
        <v>-1002828.2640949556</v>
      </c>
      <c r="M238" s="388">
        <f t="shared" si="57"/>
        <v>1893898.8293739278</v>
      </c>
      <c r="N238" s="390">
        <f t="shared" si="54"/>
        <v>891070.56527897215</v>
      </c>
      <c r="O238" s="381"/>
      <c r="P238" s="391">
        <f>Données!AC238</f>
        <v>0</v>
      </c>
      <c r="Q238" s="392">
        <f>Données!AD238</f>
        <v>0</v>
      </c>
      <c r="R238" s="393">
        <f t="shared" si="58"/>
        <v>0</v>
      </c>
      <c r="S238" s="394">
        <f t="shared" si="59"/>
        <v>0</v>
      </c>
      <c r="T238" s="393">
        <f t="shared" si="60"/>
        <v>322545.102710078</v>
      </c>
      <c r="U238" s="395">
        <f t="shared" si="55"/>
        <v>322545.102710078</v>
      </c>
    </row>
    <row r="239" spans="1:21" x14ac:dyDescent="0.25">
      <c r="A239" s="202">
        <f>Données!A239</f>
        <v>5812</v>
      </c>
      <c r="B239" s="203" t="str">
        <f>Données!B239</f>
        <v>Champtauroz</v>
      </c>
      <c r="C239" s="387">
        <f>Données!C239</f>
        <v>196</v>
      </c>
      <c r="D239" s="379">
        <f t="shared" si="51"/>
        <v>196</v>
      </c>
      <c r="E239" s="379">
        <f t="shared" si="56"/>
        <v>0</v>
      </c>
      <c r="F239" s="388">
        <f t="shared" ref="F239:I248" si="64">IF($C239&lt;F$4,0,IF($C239&gt;F$5,F$5-F$4,$C239-F$4))</f>
        <v>0</v>
      </c>
      <c r="G239" s="378">
        <f t="shared" si="64"/>
        <v>0</v>
      </c>
      <c r="H239" s="379">
        <f t="shared" si="64"/>
        <v>0</v>
      </c>
      <c r="I239" s="388">
        <f t="shared" si="64"/>
        <v>0</v>
      </c>
      <c r="J239" s="389">
        <f t="shared" si="52"/>
        <v>0</v>
      </c>
      <c r="K239" s="378"/>
      <c r="L239" s="379">
        <f t="shared" si="53"/>
        <v>-26050.939663699304</v>
      </c>
      <c r="M239" s="388">
        <f t="shared" si="57"/>
        <v>116401.43322586699</v>
      </c>
      <c r="N239" s="390">
        <f t="shared" si="54"/>
        <v>90350.493562167685</v>
      </c>
      <c r="O239" s="381"/>
      <c r="P239" s="391">
        <f>Données!AC239</f>
        <v>0</v>
      </c>
      <c r="Q239" s="392">
        <f>Données!AD239</f>
        <v>0</v>
      </c>
      <c r="R239" s="393">
        <f t="shared" si="58"/>
        <v>0</v>
      </c>
      <c r="S239" s="394">
        <f t="shared" si="59"/>
        <v>0</v>
      </c>
      <c r="T239" s="393">
        <f t="shared" si="60"/>
        <v>19824.03265323778</v>
      </c>
      <c r="U239" s="395">
        <f t="shared" si="55"/>
        <v>19824.03265323778</v>
      </c>
    </row>
    <row r="240" spans="1:21" x14ac:dyDescent="0.25">
      <c r="A240" s="202">
        <f>Données!A240</f>
        <v>5813</v>
      </c>
      <c r="B240" s="203" t="str">
        <f>Données!B240</f>
        <v>Chevroux</v>
      </c>
      <c r="C240" s="387">
        <f>Données!C240</f>
        <v>495</v>
      </c>
      <c r="D240" s="379">
        <f t="shared" si="51"/>
        <v>495</v>
      </c>
      <c r="E240" s="379">
        <f t="shared" si="56"/>
        <v>0</v>
      </c>
      <c r="F240" s="388">
        <f t="shared" si="64"/>
        <v>0</v>
      </c>
      <c r="G240" s="378">
        <f t="shared" si="64"/>
        <v>0</v>
      </c>
      <c r="H240" s="379">
        <f t="shared" si="64"/>
        <v>0</v>
      </c>
      <c r="I240" s="388">
        <f t="shared" si="64"/>
        <v>0</v>
      </c>
      <c r="J240" s="389">
        <f t="shared" si="52"/>
        <v>0</v>
      </c>
      <c r="K240" s="378"/>
      <c r="L240" s="379">
        <f t="shared" si="53"/>
        <v>-65791.913946587534</v>
      </c>
      <c r="M240" s="388">
        <f t="shared" si="57"/>
        <v>293973.00738165388</v>
      </c>
      <c r="N240" s="390">
        <f t="shared" si="54"/>
        <v>228181.09343506634</v>
      </c>
      <c r="O240" s="381"/>
      <c r="P240" s="391">
        <f>Données!AC240</f>
        <v>0</v>
      </c>
      <c r="Q240" s="392">
        <f>Données!AD240</f>
        <v>0</v>
      </c>
      <c r="R240" s="393">
        <f t="shared" si="58"/>
        <v>0</v>
      </c>
      <c r="S240" s="394">
        <f t="shared" si="59"/>
        <v>0</v>
      </c>
      <c r="T240" s="393">
        <f t="shared" si="60"/>
        <v>50065.796751799498</v>
      </c>
      <c r="U240" s="395">
        <f t="shared" si="55"/>
        <v>50065.796751799498</v>
      </c>
    </row>
    <row r="241" spans="1:21" x14ac:dyDescent="0.25">
      <c r="A241" s="202">
        <f>Données!A241</f>
        <v>5816</v>
      </c>
      <c r="B241" s="203" t="str">
        <f>Données!B241</f>
        <v>Corcelles-près-Payerne</v>
      </c>
      <c r="C241" s="387">
        <f>Données!C241</f>
        <v>3004</v>
      </c>
      <c r="D241" s="379">
        <f t="shared" si="51"/>
        <v>1000</v>
      </c>
      <c r="E241" s="379">
        <f t="shared" si="56"/>
        <v>2000</v>
      </c>
      <c r="F241" s="388">
        <f t="shared" si="64"/>
        <v>4</v>
      </c>
      <c r="G241" s="378">
        <f t="shared" si="64"/>
        <v>0</v>
      </c>
      <c r="H241" s="379">
        <f t="shared" si="64"/>
        <v>0</v>
      </c>
      <c r="I241" s="388">
        <f t="shared" si="64"/>
        <v>0</v>
      </c>
      <c r="J241" s="389">
        <f t="shared" si="52"/>
        <v>0</v>
      </c>
      <c r="K241" s="378"/>
      <c r="L241" s="379">
        <f t="shared" si="53"/>
        <v>-879883.77843719104</v>
      </c>
      <c r="M241" s="388">
        <f t="shared" si="57"/>
        <v>1784030.1296454309</v>
      </c>
      <c r="N241" s="390">
        <f t="shared" si="54"/>
        <v>904146.35120823991</v>
      </c>
      <c r="O241" s="381"/>
      <c r="P241" s="391">
        <f>Données!AC241</f>
        <v>0</v>
      </c>
      <c r="Q241" s="392">
        <f>Données!AD241</f>
        <v>0</v>
      </c>
      <c r="R241" s="393">
        <f t="shared" si="58"/>
        <v>0</v>
      </c>
      <c r="S241" s="394">
        <f t="shared" si="59"/>
        <v>0</v>
      </c>
      <c r="T241" s="393">
        <f t="shared" si="60"/>
        <v>303833.64331799129</v>
      </c>
      <c r="U241" s="395">
        <f t="shared" si="55"/>
        <v>303833.64331799129</v>
      </c>
    </row>
    <row r="242" spans="1:21" x14ac:dyDescent="0.25">
      <c r="A242" s="202">
        <f>Données!A242</f>
        <v>5817</v>
      </c>
      <c r="B242" s="203" t="str">
        <f>Données!B242</f>
        <v>Grandcour</v>
      </c>
      <c r="C242" s="387">
        <f>Données!C242</f>
        <v>983</v>
      </c>
      <c r="D242" s="379">
        <f t="shared" si="51"/>
        <v>983</v>
      </c>
      <c r="E242" s="379">
        <f t="shared" si="56"/>
        <v>0</v>
      </c>
      <c r="F242" s="388">
        <f t="shared" si="64"/>
        <v>0</v>
      </c>
      <c r="G242" s="378">
        <f t="shared" si="64"/>
        <v>0</v>
      </c>
      <c r="H242" s="379">
        <f t="shared" si="64"/>
        <v>0</v>
      </c>
      <c r="I242" s="388">
        <f t="shared" si="64"/>
        <v>0</v>
      </c>
      <c r="J242" s="389">
        <f t="shared" si="52"/>
        <v>0</v>
      </c>
      <c r="K242" s="378"/>
      <c r="L242" s="379">
        <f t="shared" si="53"/>
        <v>-130653.43719090009</v>
      </c>
      <c r="M242" s="388">
        <f t="shared" si="57"/>
        <v>583788.82071952685</v>
      </c>
      <c r="N242" s="390">
        <f t="shared" si="54"/>
        <v>453135.38352862676</v>
      </c>
      <c r="O242" s="381"/>
      <c r="P242" s="391">
        <f>Données!AC242</f>
        <v>0</v>
      </c>
      <c r="Q242" s="392">
        <f>Données!AD242</f>
        <v>0</v>
      </c>
      <c r="R242" s="393">
        <f t="shared" si="58"/>
        <v>0</v>
      </c>
      <c r="S242" s="394">
        <f t="shared" si="59"/>
        <v>0</v>
      </c>
      <c r="T242" s="393">
        <f t="shared" si="60"/>
        <v>99423.59233741193</v>
      </c>
      <c r="U242" s="395">
        <f t="shared" si="55"/>
        <v>99423.59233741193</v>
      </c>
    </row>
    <row r="243" spans="1:21" x14ac:dyDescent="0.25">
      <c r="A243" s="202">
        <f>Données!A243</f>
        <v>5819</v>
      </c>
      <c r="B243" s="203" t="str">
        <f>Données!B243</f>
        <v>Henniez</v>
      </c>
      <c r="C243" s="387">
        <f>Données!C243</f>
        <v>468</v>
      </c>
      <c r="D243" s="379">
        <f t="shared" si="51"/>
        <v>468</v>
      </c>
      <c r="E243" s="379">
        <f t="shared" si="56"/>
        <v>0</v>
      </c>
      <c r="F243" s="388">
        <f t="shared" si="64"/>
        <v>0</v>
      </c>
      <c r="G243" s="378">
        <f t="shared" si="64"/>
        <v>0</v>
      </c>
      <c r="H243" s="379">
        <f t="shared" si="64"/>
        <v>0</v>
      </c>
      <c r="I243" s="388">
        <f t="shared" si="64"/>
        <v>0</v>
      </c>
      <c r="J243" s="389">
        <f t="shared" si="52"/>
        <v>0</v>
      </c>
      <c r="K243" s="378"/>
      <c r="L243" s="379">
        <f t="shared" si="53"/>
        <v>-62203.264094955484</v>
      </c>
      <c r="M243" s="388">
        <f t="shared" si="57"/>
        <v>277938.11606992729</v>
      </c>
      <c r="N243" s="390">
        <f t="shared" si="54"/>
        <v>215734.8519749718</v>
      </c>
      <c r="O243" s="381"/>
      <c r="P243" s="391">
        <f>Données!AC243</f>
        <v>0</v>
      </c>
      <c r="Q243" s="392">
        <f>Données!AD243</f>
        <v>0</v>
      </c>
      <c r="R243" s="393">
        <f t="shared" si="58"/>
        <v>0</v>
      </c>
      <c r="S243" s="394">
        <f t="shared" si="59"/>
        <v>0</v>
      </c>
      <c r="T243" s="393">
        <f t="shared" si="60"/>
        <v>47334.935110792256</v>
      </c>
      <c r="U243" s="395">
        <f t="shared" si="55"/>
        <v>47334.935110792256</v>
      </c>
    </row>
    <row r="244" spans="1:21" x14ac:dyDescent="0.25">
      <c r="A244" s="202">
        <f>Données!A244</f>
        <v>5821</v>
      </c>
      <c r="B244" s="203" t="str">
        <f>Données!B244</f>
        <v>Missy</v>
      </c>
      <c r="C244" s="387">
        <f>Données!C244</f>
        <v>384</v>
      </c>
      <c r="D244" s="379">
        <f t="shared" si="51"/>
        <v>384</v>
      </c>
      <c r="E244" s="379">
        <f t="shared" si="56"/>
        <v>0</v>
      </c>
      <c r="F244" s="388">
        <f t="shared" si="64"/>
        <v>0</v>
      </c>
      <c r="G244" s="378">
        <f t="shared" si="64"/>
        <v>0</v>
      </c>
      <c r="H244" s="379">
        <f t="shared" si="64"/>
        <v>0</v>
      </c>
      <c r="I244" s="388">
        <f t="shared" si="64"/>
        <v>0</v>
      </c>
      <c r="J244" s="389">
        <f t="shared" si="52"/>
        <v>0</v>
      </c>
      <c r="K244" s="378"/>
      <c r="L244" s="379">
        <f t="shared" si="53"/>
        <v>-51038.575667655779</v>
      </c>
      <c r="M244" s="388">
        <f t="shared" si="57"/>
        <v>228051.78754455573</v>
      </c>
      <c r="N244" s="390">
        <f t="shared" si="54"/>
        <v>177013.21187689994</v>
      </c>
      <c r="O244" s="381"/>
      <c r="P244" s="391">
        <f>Données!AC244</f>
        <v>0</v>
      </c>
      <c r="Q244" s="392">
        <f>Données!AD244</f>
        <v>0</v>
      </c>
      <c r="R244" s="393">
        <f t="shared" si="58"/>
        <v>0</v>
      </c>
      <c r="S244" s="394">
        <f t="shared" si="59"/>
        <v>0</v>
      </c>
      <c r="T244" s="393">
        <f t="shared" si="60"/>
        <v>38838.921116547492</v>
      </c>
      <c r="U244" s="395">
        <f t="shared" si="55"/>
        <v>38838.921116547492</v>
      </c>
    </row>
    <row r="245" spans="1:21" x14ac:dyDescent="0.25">
      <c r="A245" s="202">
        <f>Données!A245</f>
        <v>5822</v>
      </c>
      <c r="B245" s="203" t="str">
        <f>Données!B245</f>
        <v>Payerne</v>
      </c>
      <c r="C245" s="387">
        <f>Données!C245</f>
        <v>10802</v>
      </c>
      <c r="D245" s="379">
        <f t="shared" si="51"/>
        <v>1000</v>
      </c>
      <c r="E245" s="379">
        <f t="shared" si="56"/>
        <v>2000</v>
      </c>
      <c r="F245" s="388">
        <f t="shared" si="64"/>
        <v>7802</v>
      </c>
      <c r="G245" s="378">
        <f t="shared" si="64"/>
        <v>0</v>
      </c>
      <c r="H245" s="379">
        <f t="shared" si="64"/>
        <v>0</v>
      </c>
      <c r="I245" s="388">
        <f t="shared" si="64"/>
        <v>0</v>
      </c>
      <c r="J245" s="389">
        <f t="shared" si="52"/>
        <v>0</v>
      </c>
      <c r="K245" s="378"/>
      <c r="L245" s="379">
        <f t="shared" si="53"/>
        <v>-6062159.9901088029</v>
      </c>
      <c r="M245" s="388">
        <f t="shared" si="57"/>
        <v>6415144.2944174251</v>
      </c>
      <c r="N245" s="390">
        <f t="shared" si="54"/>
        <v>352984.30430862214</v>
      </c>
      <c r="O245" s="381"/>
      <c r="P245" s="391">
        <f>Données!AC245</f>
        <v>336028</v>
      </c>
      <c r="Q245" s="392">
        <f>Données!AD245</f>
        <v>-12428</v>
      </c>
      <c r="R245" s="393">
        <f t="shared" si="58"/>
        <v>323600</v>
      </c>
      <c r="S245" s="394">
        <f t="shared" si="59"/>
        <v>-194160</v>
      </c>
      <c r="T245" s="393">
        <f t="shared" si="60"/>
        <v>1092546.9424503802</v>
      </c>
      <c r="U245" s="395">
        <f t="shared" si="55"/>
        <v>898386.94245038019</v>
      </c>
    </row>
    <row r="246" spans="1:21" x14ac:dyDescent="0.25">
      <c r="A246" s="202">
        <f>Données!A246</f>
        <v>5827</v>
      </c>
      <c r="B246" s="203" t="str">
        <f>Données!B246</f>
        <v>Trey</v>
      </c>
      <c r="C246" s="387">
        <f>Données!C246</f>
        <v>318</v>
      </c>
      <c r="D246" s="379">
        <f t="shared" si="51"/>
        <v>318</v>
      </c>
      <c r="E246" s="379">
        <f t="shared" si="56"/>
        <v>0</v>
      </c>
      <c r="F246" s="388">
        <f t="shared" si="64"/>
        <v>0</v>
      </c>
      <c r="G246" s="378">
        <f t="shared" si="64"/>
        <v>0</v>
      </c>
      <c r="H246" s="379">
        <f t="shared" si="64"/>
        <v>0</v>
      </c>
      <c r="I246" s="388">
        <f t="shared" si="64"/>
        <v>0</v>
      </c>
      <c r="J246" s="389">
        <f t="shared" si="52"/>
        <v>0</v>
      </c>
      <c r="K246" s="378"/>
      <c r="L246" s="379">
        <f t="shared" si="53"/>
        <v>-42266.320474777443</v>
      </c>
      <c r="M246" s="388">
        <f t="shared" si="57"/>
        <v>188855.38656033523</v>
      </c>
      <c r="N246" s="390">
        <f t="shared" si="54"/>
        <v>146589.0660855578</v>
      </c>
      <c r="O246" s="381"/>
      <c r="P246" s="391">
        <f>Données!AC246</f>
        <v>0</v>
      </c>
      <c r="Q246" s="392">
        <f>Données!AD246</f>
        <v>0</v>
      </c>
      <c r="R246" s="393">
        <f t="shared" si="58"/>
        <v>0</v>
      </c>
      <c r="S246" s="394">
        <f t="shared" si="59"/>
        <v>0</v>
      </c>
      <c r="T246" s="393">
        <f t="shared" si="60"/>
        <v>32163.481549640888</v>
      </c>
      <c r="U246" s="395">
        <f t="shared" si="55"/>
        <v>32163.481549640888</v>
      </c>
    </row>
    <row r="247" spans="1:21" x14ac:dyDescent="0.25">
      <c r="A247" s="202">
        <f>Données!A247</f>
        <v>5828</v>
      </c>
      <c r="B247" s="203" t="str">
        <f>Données!B247</f>
        <v>Treytorrens (Payerne)</v>
      </c>
      <c r="C247" s="387">
        <f>Données!C247</f>
        <v>109</v>
      </c>
      <c r="D247" s="379">
        <f t="shared" si="51"/>
        <v>109</v>
      </c>
      <c r="E247" s="379">
        <f t="shared" si="56"/>
        <v>0</v>
      </c>
      <c r="F247" s="388">
        <f t="shared" si="64"/>
        <v>0</v>
      </c>
      <c r="G247" s="378">
        <f t="shared" si="64"/>
        <v>0</v>
      </c>
      <c r="H247" s="379">
        <f t="shared" si="64"/>
        <v>0</v>
      </c>
      <c r="I247" s="388">
        <f t="shared" si="64"/>
        <v>0</v>
      </c>
      <c r="J247" s="389">
        <f t="shared" si="52"/>
        <v>0</v>
      </c>
      <c r="K247" s="378"/>
      <c r="L247" s="379">
        <f t="shared" si="53"/>
        <v>-14487.512363996042</v>
      </c>
      <c r="M247" s="388">
        <f t="shared" si="57"/>
        <v>64733.45011030358</v>
      </c>
      <c r="N247" s="390">
        <f t="shared" si="54"/>
        <v>50245.937746307536</v>
      </c>
      <c r="O247" s="381"/>
      <c r="P247" s="391">
        <f>Données!AC247</f>
        <v>0</v>
      </c>
      <c r="Q247" s="392">
        <f>Données!AD247</f>
        <v>0</v>
      </c>
      <c r="R247" s="393">
        <f t="shared" si="58"/>
        <v>0</v>
      </c>
      <c r="S247" s="394">
        <f t="shared" si="59"/>
        <v>0</v>
      </c>
      <c r="T247" s="393">
        <f t="shared" si="60"/>
        <v>11024.589587769991</v>
      </c>
      <c r="U247" s="395">
        <f t="shared" si="55"/>
        <v>11024.589587769991</v>
      </c>
    </row>
    <row r="248" spans="1:21" x14ac:dyDescent="0.25">
      <c r="A248" s="202">
        <f>Données!A248</f>
        <v>5830</v>
      </c>
      <c r="B248" s="203" t="str">
        <f>Données!B248</f>
        <v>Villarzel</v>
      </c>
      <c r="C248" s="387">
        <f>Données!C248</f>
        <v>524</v>
      </c>
      <c r="D248" s="379">
        <f t="shared" si="51"/>
        <v>524</v>
      </c>
      <c r="E248" s="379">
        <f t="shared" si="56"/>
        <v>0</v>
      </c>
      <c r="F248" s="388">
        <f t="shared" si="64"/>
        <v>0</v>
      </c>
      <c r="G248" s="378">
        <f t="shared" si="64"/>
        <v>0</v>
      </c>
      <c r="H248" s="379">
        <f t="shared" si="64"/>
        <v>0</v>
      </c>
      <c r="I248" s="388">
        <f t="shared" si="64"/>
        <v>0</v>
      </c>
      <c r="J248" s="389">
        <f t="shared" si="52"/>
        <v>0</v>
      </c>
      <c r="K248" s="378"/>
      <c r="L248" s="379">
        <f t="shared" si="53"/>
        <v>-69646.38971315528</v>
      </c>
      <c r="M248" s="388">
        <f t="shared" si="57"/>
        <v>311195.66842017503</v>
      </c>
      <c r="N248" s="390">
        <f t="shared" si="54"/>
        <v>241549.27870701975</v>
      </c>
      <c r="O248" s="381"/>
      <c r="P248" s="391">
        <f>Données!AC248</f>
        <v>0</v>
      </c>
      <c r="Q248" s="392">
        <f>Données!AD248</f>
        <v>0</v>
      </c>
      <c r="R248" s="393">
        <f t="shared" si="58"/>
        <v>0</v>
      </c>
      <c r="S248" s="394">
        <f t="shared" si="59"/>
        <v>0</v>
      </c>
      <c r="T248" s="393">
        <f t="shared" si="60"/>
        <v>52998.94444028876</v>
      </c>
      <c r="U248" s="395">
        <f t="shared" si="55"/>
        <v>52998.94444028876</v>
      </c>
    </row>
    <row r="249" spans="1:21" x14ac:dyDescent="0.25">
      <c r="A249" s="202">
        <f>Données!A249</f>
        <v>5831</v>
      </c>
      <c r="B249" s="203" t="str">
        <f>Données!B249</f>
        <v>Valbroye</v>
      </c>
      <c r="C249" s="387">
        <f>Données!C249</f>
        <v>3435</v>
      </c>
      <c r="D249" s="379">
        <f t="shared" si="51"/>
        <v>1000</v>
      </c>
      <c r="E249" s="379">
        <f t="shared" si="56"/>
        <v>2000</v>
      </c>
      <c r="F249" s="388">
        <f t="shared" ref="F249:I258" si="65">IF($C249&lt;F$4,0,IF($C249&gt;F$5,F$5-F$4,$C249-F$4))</f>
        <v>435</v>
      </c>
      <c r="G249" s="378">
        <f t="shared" si="65"/>
        <v>0</v>
      </c>
      <c r="H249" s="379">
        <f t="shared" si="65"/>
        <v>0</v>
      </c>
      <c r="I249" s="388">
        <f t="shared" si="65"/>
        <v>0</v>
      </c>
      <c r="J249" s="389">
        <f t="shared" si="52"/>
        <v>0</v>
      </c>
      <c r="K249" s="378"/>
      <c r="L249" s="379">
        <f t="shared" si="53"/>
        <v>-1166311.2017804156</v>
      </c>
      <c r="M249" s="388">
        <f t="shared" si="57"/>
        <v>2039994.5057696588</v>
      </c>
      <c r="N249" s="390">
        <f t="shared" si="54"/>
        <v>873683.30398924323</v>
      </c>
      <c r="O249" s="381"/>
      <c r="P249" s="391">
        <f>Données!AC249</f>
        <v>0</v>
      </c>
      <c r="Q249" s="392">
        <f>Données!AD249</f>
        <v>0</v>
      </c>
      <c r="R249" s="393">
        <f t="shared" si="58"/>
        <v>0</v>
      </c>
      <c r="S249" s="394">
        <f t="shared" si="59"/>
        <v>0</v>
      </c>
      <c r="T249" s="393">
        <f t="shared" si="60"/>
        <v>347426.2865503662</v>
      </c>
      <c r="U249" s="395">
        <f t="shared" si="55"/>
        <v>347426.2865503662</v>
      </c>
    </row>
    <row r="250" spans="1:21" x14ac:dyDescent="0.25">
      <c r="A250" s="202">
        <f>Données!A250</f>
        <v>5841</v>
      </c>
      <c r="B250" s="203" t="str">
        <f>Données!B250</f>
        <v>Château-d'Oex</v>
      </c>
      <c r="C250" s="387">
        <f>Données!C250</f>
        <v>3656</v>
      </c>
      <c r="D250" s="379">
        <f t="shared" si="51"/>
        <v>1000</v>
      </c>
      <c r="E250" s="379">
        <f t="shared" si="56"/>
        <v>2000</v>
      </c>
      <c r="F250" s="388">
        <f t="shared" si="65"/>
        <v>656</v>
      </c>
      <c r="G250" s="378">
        <f t="shared" si="65"/>
        <v>0</v>
      </c>
      <c r="H250" s="379">
        <f t="shared" si="65"/>
        <v>0</v>
      </c>
      <c r="I250" s="388">
        <f t="shared" si="65"/>
        <v>0</v>
      </c>
      <c r="J250" s="389">
        <f t="shared" si="52"/>
        <v>0</v>
      </c>
      <c r="K250" s="378"/>
      <c r="L250" s="379">
        <f t="shared" si="53"/>
        <v>-1313180.0197823937</v>
      </c>
      <c r="M250" s="388">
        <f t="shared" si="57"/>
        <v>2171243.060580458</v>
      </c>
      <c r="N250" s="390">
        <f t="shared" si="54"/>
        <v>858063.04079806432</v>
      </c>
      <c r="O250" s="381"/>
      <c r="P250" s="391">
        <f>Données!AC250</f>
        <v>0</v>
      </c>
      <c r="Q250" s="392">
        <f>Données!AD250</f>
        <v>0</v>
      </c>
      <c r="R250" s="393">
        <f t="shared" si="58"/>
        <v>0</v>
      </c>
      <c r="S250" s="394">
        <f t="shared" si="59"/>
        <v>0</v>
      </c>
      <c r="T250" s="393">
        <f t="shared" si="60"/>
        <v>369778.89479712921</v>
      </c>
      <c r="U250" s="395">
        <f t="shared" si="55"/>
        <v>369778.89479712921</v>
      </c>
    </row>
    <row r="251" spans="1:21" x14ac:dyDescent="0.25">
      <c r="A251" s="202">
        <f>Données!A251</f>
        <v>5842</v>
      </c>
      <c r="B251" s="203" t="str">
        <f>Données!B251</f>
        <v>Rossinière</v>
      </c>
      <c r="C251" s="387">
        <f>Données!C251</f>
        <v>499</v>
      </c>
      <c r="D251" s="379">
        <f t="shared" si="51"/>
        <v>499</v>
      </c>
      <c r="E251" s="379">
        <f t="shared" si="56"/>
        <v>0</v>
      </c>
      <c r="F251" s="388">
        <f t="shared" si="65"/>
        <v>0</v>
      </c>
      <c r="G251" s="378">
        <f t="shared" si="65"/>
        <v>0</v>
      </c>
      <c r="H251" s="379">
        <f t="shared" si="65"/>
        <v>0</v>
      </c>
      <c r="I251" s="388">
        <f t="shared" si="65"/>
        <v>0</v>
      </c>
      <c r="J251" s="389">
        <f t="shared" si="52"/>
        <v>0</v>
      </c>
      <c r="K251" s="378"/>
      <c r="L251" s="379">
        <f t="shared" si="53"/>
        <v>-66323.565776458941</v>
      </c>
      <c r="M251" s="388">
        <f t="shared" si="57"/>
        <v>296348.546835243</v>
      </c>
      <c r="N251" s="390">
        <f t="shared" si="54"/>
        <v>230024.98105878406</v>
      </c>
      <c r="O251" s="381"/>
      <c r="P251" s="391">
        <f>Données!AC251</f>
        <v>0</v>
      </c>
      <c r="Q251" s="392">
        <f>Données!AD251</f>
        <v>0</v>
      </c>
      <c r="R251" s="393">
        <f t="shared" si="58"/>
        <v>0</v>
      </c>
      <c r="S251" s="394">
        <f t="shared" si="59"/>
        <v>0</v>
      </c>
      <c r="T251" s="393">
        <f t="shared" si="60"/>
        <v>50470.368846763537</v>
      </c>
      <c r="U251" s="395">
        <f t="shared" si="55"/>
        <v>50470.368846763537</v>
      </c>
    </row>
    <row r="252" spans="1:21" x14ac:dyDescent="0.25">
      <c r="A252" s="202">
        <f>Données!A252</f>
        <v>5843</v>
      </c>
      <c r="B252" s="203" t="str">
        <f>Données!B252</f>
        <v>Rougemont</v>
      </c>
      <c r="C252" s="387">
        <f>Données!C252</f>
        <v>812</v>
      </c>
      <c r="D252" s="379">
        <f t="shared" si="51"/>
        <v>812</v>
      </c>
      <c r="E252" s="379">
        <f t="shared" si="56"/>
        <v>0</v>
      </c>
      <c r="F252" s="388">
        <f t="shared" si="65"/>
        <v>0</v>
      </c>
      <c r="G252" s="378">
        <f t="shared" si="65"/>
        <v>0</v>
      </c>
      <c r="H252" s="379">
        <f t="shared" si="65"/>
        <v>0</v>
      </c>
      <c r="I252" s="388">
        <f t="shared" si="65"/>
        <v>0</v>
      </c>
      <c r="J252" s="389">
        <f t="shared" si="52"/>
        <v>0</v>
      </c>
      <c r="K252" s="378"/>
      <c r="L252" s="379">
        <f t="shared" si="53"/>
        <v>-107925.32146389713</v>
      </c>
      <c r="M252" s="388">
        <f t="shared" si="57"/>
        <v>482234.50907859183</v>
      </c>
      <c r="N252" s="390">
        <f t="shared" si="54"/>
        <v>374309.1876146947</v>
      </c>
      <c r="O252" s="381"/>
      <c r="P252" s="391">
        <f>Données!AC252</f>
        <v>0</v>
      </c>
      <c r="Q252" s="392">
        <f>Données!AD252</f>
        <v>0</v>
      </c>
      <c r="R252" s="393">
        <f t="shared" si="58"/>
        <v>0</v>
      </c>
      <c r="S252" s="394">
        <f t="shared" si="59"/>
        <v>0</v>
      </c>
      <c r="T252" s="393">
        <f t="shared" si="60"/>
        <v>82128.135277699374</v>
      </c>
      <c r="U252" s="395">
        <f t="shared" si="55"/>
        <v>82128.135277699374</v>
      </c>
    </row>
    <row r="253" spans="1:21" x14ac:dyDescent="0.25">
      <c r="A253" s="202">
        <f>Données!A253</f>
        <v>5851</v>
      </c>
      <c r="B253" s="203" t="str">
        <f>Données!B253</f>
        <v>Allaman</v>
      </c>
      <c r="C253" s="387">
        <f>Données!C253</f>
        <v>430</v>
      </c>
      <c r="D253" s="379">
        <f t="shared" si="51"/>
        <v>430</v>
      </c>
      <c r="E253" s="379">
        <f t="shared" si="56"/>
        <v>0</v>
      </c>
      <c r="F253" s="388">
        <f t="shared" si="65"/>
        <v>0</v>
      </c>
      <c r="G253" s="378">
        <f t="shared" si="65"/>
        <v>0</v>
      </c>
      <c r="H253" s="379">
        <f t="shared" si="65"/>
        <v>0</v>
      </c>
      <c r="I253" s="388">
        <f t="shared" si="65"/>
        <v>0</v>
      </c>
      <c r="J253" s="389">
        <f t="shared" si="52"/>
        <v>0</v>
      </c>
      <c r="K253" s="378"/>
      <c r="L253" s="379">
        <f t="shared" si="53"/>
        <v>-57152.57171117705</v>
      </c>
      <c r="M253" s="388">
        <f t="shared" si="57"/>
        <v>255370.49126083066</v>
      </c>
      <c r="N253" s="390">
        <f t="shared" si="54"/>
        <v>198217.9195496536</v>
      </c>
      <c r="O253" s="381"/>
      <c r="P253" s="391">
        <f>Données!AC253</f>
        <v>0</v>
      </c>
      <c r="Q253" s="392">
        <f>Données!AD253</f>
        <v>0</v>
      </c>
      <c r="R253" s="393">
        <f t="shared" si="58"/>
        <v>0</v>
      </c>
      <c r="S253" s="394">
        <f t="shared" si="59"/>
        <v>0</v>
      </c>
      <c r="T253" s="393">
        <f t="shared" si="60"/>
        <v>43491.500208633908</v>
      </c>
      <c r="U253" s="395">
        <f t="shared" si="55"/>
        <v>43491.500208633908</v>
      </c>
    </row>
    <row r="254" spans="1:21" x14ac:dyDescent="0.25">
      <c r="A254" s="202">
        <f>Données!A254</f>
        <v>5852</v>
      </c>
      <c r="B254" s="203" t="str">
        <f>Données!B254</f>
        <v>Bursinel</v>
      </c>
      <c r="C254" s="387">
        <f>Données!C254</f>
        <v>530</v>
      </c>
      <c r="D254" s="379">
        <f t="shared" si="51"/>
        <v>530</v>
      </c>
      <c r="E254" s="379">
        <f t="shared" si="56"/>
        <v>0</v>
      </c>
      <c r="F254" s="388">
        <f t="shared" si="65"/>
        <v>0</v>
      </c>
      <c r="G254" s="378">
        <f t="shared" si="65"/>
        <v>0</v>
      </c>
      <c r="H254" s="379">
        <f t="shared" si="65"/>
        <v>0</v>
      </c>
      <c r="I254" s="388">
        <f t="shared" si="65"/>
        <v>0</v>
      </c>
      <c r="J254" s="389">
        <f t="shared" si="52"/>
        <v>0</v>
      </c>
      <c r="K254" s="378"/>
      <c r="L254" s="379">
        <f t="shared" si="53"/>
        <v>-70443.867457962406</v>
      </c>
      <c r="M254" s="388">
        <f t="shared" si="57"/>
        <v>314758.97760055872</v>
      </c>
      <c r="N254" s="390">
        <f t="shared" si="54"/>
        <v>244315.1101425963</v>
      </c>
      <c r="O254" s="381"/>
      <c r="P254" s="391">
        <f>Données!AC254</f>
        <v>0</v>
      </c>
      <c r="Q254" s="392">
        <f>Données!AD254</f>
        <v>0</v>
      </c>
      <c r="R254" s="393">
        <f t="shared" si="58"/>
        <v>0</v>
      </c>
      <c r="S254" s="394">
        <f t="shared" si="59"/>
        <v>0</v>
      </c>
      <c r="T254" s="393">
        <f t="shared" si="60"/>
        <v>53605.802582734817</v>
      </c>
      <c r="U254" s="395">
        <f t="shared" si="55"/>
        <v>53605.802582734817</v>
      </c>
    </row>
    <row r="255" spans="1:21" x14ac:dyDescent="0.25">
      <c r="A255" s="202">
        <f>Données!A255</f>
        <v>5853</v>
      </c>
      <c r="B255" s="203" t="str">
        <f>Données!B255</f>
        <v>Bursins</v>
      </c>
      <c r="C255" s="387">
        <f>Données!C255</f>
        <v>825</v>
      </c>
      <c r="D255" s="379">
        <f t="shared" si="51"/>
        <v>825</v>
      </c>
      <c r="E255" s="379">
        <f t="shared" si="56"/>
        <v>0</v>
      </c>
      <c r="F255" s="388">
        <f t="shared" si="65"/>
        <v>0</v>
      </c>
      <c r="G255" s="378">
        <f t="shared" si="65"/>
        <v>0</v>
      </c>
      <c r="H255" s="379">
        <f t="shared" si="65"/>
        <v>0</v>
      </c>
      <c r="I255" s="388">
        <f t="shared" si="65"/>
        <v>0</v>
      </c>
      <c r="J255" s="389">
        <f t="shared" si="52"/>
        <v>0</v>
      </c>
      <c r="K255" s="378"/>
      <c r="L255" s="379">
        <f t="shared" si="53"/>
        <v>-109653.18991097923</v>
      </c>
      <c r="M255" s="388">
        <f t="shared" si="57"/>
        <v>489955.01230275648</v>
      </c>
      <c r="N255" s="390">
        <f t="shared" si="54"/>
        <v>380301.82239177724</v>
      </c>
      <c r="O255" s="381"/>
      <c r="P255" s="391">
        <f>Données!AC255</f>
        <v>0</v>
      </c>
      <c r="Q255" s="392">
        <f>Données!AD255</f>
        <v>0</v>
      </c>
      <c r="R255" s="393">
        <f t="shared" si="58"/>
        <v>0</v>
      </c>
      <c r="S255" s="394">
        <f t="shared" si="59"/>
        <v>0</v>
      </c>
      <c r="T255" s="393">
        <f t="shared" si="60"/>
        <v>83442.994586332497</v>
      </c>
      <c r="U255" s="395">
        <f t="shared" si="55"/>
        <v>83442.994586332497</v>
      </c>
    </row>
    <row r="256" spans="1:21" x14ac:dyDescent="0.25">
      <c r="A256" s="202">
        <f>Données!A256</f>
        <v>5854</v>
      </c>
      <c r="B256" s="203" t="str">
        <f>Données!B256</f>
        <v>Burtigny</v>
      </c>
      <c r="C256" s="387">
        <f>Données!C256</f>
        <v>401</v>
      </c>
      <c r="D256" s="379">
        <f t="shared" si="51"/>
        <v>401</v>
      </c>
      <c r="E256" s="379">
        <f t="shared" si="56"/>
        <v>0</v>
      </c>
      <c r="F256" s="388">
        <f t="shared" si="65"/>
        <v>0</v>
      </c>
      <c r="G256" s="378">
        <f t="shared" si="65"/>
        <v>0</v>
      </c>
      <c r="H256" s="379">
        <f t="shared" si="65"/>
        <v>0</v>
      </c>
      <c r="I256" s="388">
        <f t="shared" si="65"/>
        <v>0</v>
      </c>
      <c r="J256" s="389">
        <f t="shared" si="52"/>
        <v>0</v>
      </c>
      <c r="K256" s="378"/>
      <c r="L256" s="379">
        <f t="shared" si="53"/>
        <v>-53298.095944609297</v>
      </c>
      <c r="M256" s="388">
        <f t="shared" si="57"/>
        <v>238147.83022230951</v>
      </c>
      <c r="N256" s="390">
        <f t="shared" si="54"/>
        <v>184849.73427770022</v>
      </c>
      <c r="O256" s="381"/>
      <c r="P256" s="391">
        <f>Données!AC256</f>
        <v>0</v>
      </c>
      <c r="Q256" s="392">
        <f>Données!AD256</f>
        <v>0</v>
      </c>
      <c r="R256" s="393">
        <f t="shared" si="58"/>
        <v>0</v>
      </c>
      <c r="S256" s="394">
        <f t="shared" si="59"/>
        <v>0</v>
      </c>
      <c r="T256" s="393">
        <f t="shared" si="60"/>
        <v>40558.352520144646</v>
      </c>
      <c r="U256" s="395">
        <f t="shared" si="55"/>
        <v>40558.352520144646</v>
      </c>
    </row>
    <row r="257" spans="1:21" x14ac:dyDescent="0.25">
      <c r="A257" s="202">
        <f>Données!A257</f>
        <v>5855</v>
      </c>
      <c r="B257" s="203" t="str">
        <f>Données!B257</f>
        <v>Dully</v>
      </c>
      <c r="C257" s="387">
        <f>Données!C257</f>
        <v>623</v>
      </c>
      <c r="D257" s="379">
        <f t="shared" si="51"/>
        <v>623</v>
      </c>
      <c r="E257" s="379">
        <f t="shared" si="56"/>
        <v>0</v>
      </c>
      <c r="F257" s="388">
        <f t="shared" si="65"/>
        <v>0</v>
      </c>
      <c r="G257" s="378">
        <f t="shared" si="65"/>
        <v>0</v>
      </c>
      <c r="H257" s="379">
        <f t="shared" si="65"/>
        <v>0</v>
      </c>
      <c r="I257" s="388">
        <f t="shared" si="65"/>
        <v>0</v>
      </c>
      <c r="J257" s="389">
        <f t="shared" si="52"/>
        <v>0</v>
      </c>
      <c r="K257" s="378"/>
      <c r="L257" s="379">
        <f t="shared" si="53"/>
        <v>-82804.772502472799</v>
      </c>
      <c r="M257" s="388">
        <f t="shared" si="57"/>
        <v>369990.26989650581</v>
      </c>
      <c r="N257" s="390">
        <f t="shared" si="54"/>
        <v>287185.49739403301</v>
      </c>
      <c r="O257" s="381"/>
      <c r="P257" s="391">
        <f>Données!AC257</f>
        <v>0</v>
      </c>
      <c r="Q257" s="392">
        <f>Données!AD257</f>
        <v>0</v>
      </c>
      <c r="R257" s="393">
        <f t="shared" si="58"/>
        <v>0</v>
      </c>
      <c r="S257" s="394">
        <f t="shared" si="59"/>
        <v>0</v>
      </c>
      <c r="T257" s="393">
        <f t="shared" si="60"/>
        <v>63012.10379064866</v>
      </c>
      <c r="U257" s="395">
        <f t="shared" si="55"/>
        <v>63012.10379064866</v>
      </c>
    </row>
    <row r="258" spans="1:21" x14ac:dyDescent="0.25">
      <c r="A258" s="202">
        <f>Données!A258</f>
        <v>5856</v>
      </c>
      <c r="B258" s="203" t="str">
        <f>Données!B258</f>
        <v>Essertines-sur-Rolle</v>
      </c>
      <c r="C258" s="387">
        <f>Données!C258</f>
        <v>789</v>
      </c>
      <c r="D258" s="379">
        <f t="shared" si="51"/>
        <v>789</v>
      </c>
      <c r="E258" s="379">
        <f t="shared" si="56"/>
        <v>0</v>
      </c>
      <c r="F258" s="388">
        <f t="shared" si="65"/>
        <v>0</v>
      </c>
      <c r="G258" s="378">
        <f t="shared" si="65"/>
        <v>0</v>
      </c>
      <c r="H258" s="379">
        <f t="shared" si="65"/>
        <v>0</v>
      </c>
      <c r="I258" s="388">
        <f t="shared" si="65"/>
        <v>0</v>
      </c>
      <c r="J258" s="389">
        <f t="shared" si="52"/>
        <v>0</v>
      </c>
      <c r="K258" s="378"/>
      <c r="L258" s="379">
        <f t="shared" si="53"/>
        <v>-104868.32344213649</v>
      </c>
      <c r="M258" s="388">
        <f t="shared" si="57"/>
        <v>468575.15722045436</v>
      </c>
      <c r="N258" s="390">
        <f t="shared" si="54"/>
        <v>363706.8337783179</v>
      </c>
      <c r="O258" s="381"/>
      <c r="P258" s="391">
        <f>Données!AC258</f>
        <v>0</v>
      </c>
      <c r="Q258" s="392">
        <f>Données!AD258</f>
        <v>0</v>
      </c>
      <c r="R258" s="393">
        <f t="shared" si="58"/>
        <v>0</v>
      </c>
      <c r="S258" s="394">
        <f t="shared" si="59"/>
        <v>0</v>
      </c>
      <c r="T258" s="393">
        <f t="shared" si="60"/>
        <v>79801.845731656169</v>
      </c>
      <c r="U258" s="395">
        <f t="shared" si="55"/>
        <v>79801.845731656169</v>
      </c>
    </row>
    <row r="259" spans="1:21" x14ac:dyDescent="0.25">
      <c r="A259" s="202">
        <f>Données!A259</f>
        <v>5857</v>
      </c>
      <c r="B259" s="203" t="str">
        <f>Données!B259</f>
        <v>Gilly</v>
      </c>
      <c r="C259" s="387">
        <f>Données!C259</f>
        <v>1441</v>
      </c>
      <c r="D259" s="379">
        <f t="shared" si="51"/>
        <v>1000</v>
      </c>
      <c r="E259" s="379">
        <f t="shared" si="56"/>
        <v>441</v>
      </c>
      <c r="F259" s="388">
        <f t="shared" ref="F259:I268" si="66">IF($C259&lt;F$4,0,IF($C259&gt;F$5,F$5-F$4,$C259-F$4))</f>
        <v>0</v>
      </c>
      <c r="G259" s="378">
        <f t="shared" si="66"/>
        <v>0</v>
      </c>
      <c r="H259" s="379">
        <f t="shared" si="66"/>
        <v>0</v>
      </c>
      <c r="I259" s="388">
        <f t="shared" si="66"/>
        <v>0</v>
      </c>
      <c r="J259" s="389">
        <f t="shared" si="52"/>
        <v>0</v>
      </c>
      <c r="K259" s="378"/>
      <c r="L259" s="379">
        <f t="shared" si="53"/>
        <v>-297033.87734915927</v>
      </c>
      <c r="M259" s="388">
        <f t="shared" si="57"/>
        <v>855788.08815548127</v>
      </c>
      <c r="N259" s="390">
        <f t="shared" si="54"/>
        <v>558754.21080632205</v>
      </c>
      <c r="O259" s="381"/>
      <c r="P259" s="391">
        <f>Données!AC259</f>
        <v>0</v>
      </c>
      <c r="Q259" s="392">
        <f>Données!AD259</f>
        <v>0</v>
      </c>
      <c r="R259" s="393">
        <f t="shared" si="58"/>
        <v>0</v>
      </c>
      <c r="S259" s="394">
        <f t="shared" si="59"/>
        <v>0</v>
      </c>
      <c r="T259" s="393">
        <f t="shared" si="60"/>
        <v>145747.09721079411</v>
      </c>
      <c r="U259" s="395">
        <f t="shared" si="55"/>
        <v>145747.09721079411</v>
      </c>
    </row>
    <row r="260" spans="1:21" x14ac:dyDescent="0.25">
      <c r="A260" s="202">
        <f>Données!A260</f>
        <v>5858</v>
      </c>
      <c r="B260" s="203" t="str">
        <f>Données!B260</f>
        <v>Luins</v>
      </c>
      <c r="C260" s="387">
        <f>Données!C260</f>
        <v>637</v>
      </c>
      <c r="D260" s="379">
        <f t="shared" si="51"/>
        <v>637</v>
      </c>
      <c r="E260" s="379">
        <f t="shared" si="56"/>
        <v>0</v>
      </c>
      <c r="F260" s="388">
        <f t="shared" si="66"/>
        <v>0</v>
      </c>
      <c r="G260" s="378">
        <f t="shared" si="66"/>
        <v>0</v>
      </c>
      <c r="H260" s="379">
        <f t="shared" si="66"/>
        <v>0</v>
      </c>
      <c r="I260" s="388">
        <f t="shared" si="66"/>
        <v>0</v>
      </c>
      <c r="J260" s="389">
        <f t="shared" si="52"/>
        <v>0</v>
      </c>
      <c r="K260" s="378"/>
      <c r="L260" s="379">
        <f t="shared" si="53"/>
        <v>-84665.553907022739</v>
      </c>
      <c r="M260" s="388">
        <f t="shared" si="57"/>
        <v>378304.65798406774</v>
      </c>
      <c r="N260" s="390">
        <f t="shared" si="54"/>
        <v>293639.10407704499</v>
      </c>
      <c r="O260" s="381"/>
      <c r="P260" s="391">
        <f>Données!AC260</f>
        <v>0</v>
      </c>
      <c r="Q260" s="392">
        <f>Données!AD260</f>
        <v>0</v>
      </c>
      <c r="R260" s="393">
        <f t="shared" si="58"/>
        <v>0</v>
      </c>
      <c r="S260" s="394">
        <f t="shared" si="59"/>
        <v>0</v>
      </c>
      <c r="T260" s="393">
        <f t="shared" si="60"/>
        <v>64428.106123022786</v>
      </c>
      <c r="U260" s="395">
        <f t="shared" si="55"/>
        <v>64428.106123022786</v>
      </c>
    </row>
    <row r="261" spans="1:21" x14ac:dyDescent="0.25">
      <c r="A261" s="202">
        <f>Données!A261</f>
        <v>5859</v>
      </c>
      <c r="B261" s="203" t="str">
        <f>Données!B261</f>
        <v>Mont-sur-Rolle</v>
      </c>
      <c r="C261" s="387">
        <f>Données!C261</f>
        <v>2749</v>
      </c>
      <c r="D261" s="379">
        <f t="shared" si="51"/>
        <v>1000</v>
      </c>
      <c r="E261" s="379">
        <f t="shared" si="56"/>
        <v>1749</v>
      </c>
      <c r="F261" s="388">
        <f t="shared" si="66"/>
        <v>0</v>
      </c>
      <c r="G261" s="378">
        <f t="shared" si="66"/>
        <v>0</v>
      </c>
      <c r="H261" s="379">
        <f t="shared" si="66"/>
        <v>0</v>
      </c>
      <c r="I261" s="388">
        <f t="shared" si="66"/>
        <v>0</v>
      </c>
      <c r="J261" s="389">
        <f t="shared" si="52"/>
        <v>0</v>
      </c>
      <c r="K261" s="378"/>
      <c r="L261" s="379">
        <f t="shared" si="53"/>
        <v>-783814.29277942632</v>
      </c>
      <c r="M261" s="388">
        <f t="shared" si="57"/>
        <v>1632589.4894791243</v>
      </c>
      <c r="N261" s="390">
        <f t="shared" si="54"/>
        <v>848775.19669969799</v>
      </c>
      <c r="O261" s="381"/>
      <c r="P261" s="391">
        <f>Données!AC261</f>
        <v>0</v>
      </c>
      <c r="Q261" s="392">
        <f>Données!AD261</f>
        <v>0</v>
      </c>
      <c r="R261" s="393">
        <f t="shared" si="58"/>
        <v>0</v>
      </c>
      <c r="S261" s="394">
        <f t="shared" si="59"/>
        <v>0</v>
      </c>
      <c r="T261" s="393">
        <f t="shared" si="60"/>
        <v>278042.17226403399</v>
      </c>
      <c r="U261" s="395">
        <f t="shared" si="55"/>
        <v>278042.17226403399</v>
      </c>
    </row>
    <row r="262" spans="1:21" x14ac:dyDescent="0.25">
      <c r="A262" s="202">
        <f>Données!A262</f>
        <v>5860</v>
      </c>
      <c r="B262" s="203" t="str">
        <f>Données!B262</f>
        <v>Perroy</v>
      </c>
      <c r="C262" s="387">
        <f>Données!C262</f>
        <v>1588</v>
      </c>
      <c r="D262" s="379">
        <f t="shared" si="51"/>
        <v>1000</v>
      </c>
      <c r="E262" s="379">
        <f t="shared" si="56"/>
        <v>588</v>
      </c>
      <c r="F262" s="388">
        <f t="shared" si="66"/>
        <v>0</v>
      </c>
      <c r="G262" s="378">
        <f t="shared" si="66"/>
        <v>0</v>
      </c>
      <c r="H262" s="379">
        <f t="shared" si="66"/>
        <v>0</v>
      </c>
      <c r="I262" s="388">
        <f t="shared" si="66"/>
        <v>0</v>
      </c>
      <c r="J262" s="389">
        <f t="shared" si="52"/>
        <v>0</v>
      </c>
      <c r="K262" s="378"/>
      <c r="L262" s="379">
        <f t="shared" si="53"/>
        <v>-351740.85064292781</v>
      </c>
      <c r="M262" s="388">
        <f t="shared" si="57"/>
        <v>943089.16307488154</v>
      </c>
      <c r="N262" s="390">
        <f t="shared" si="54"/>
        <v>591348.31243195373</v>
      </c>
      <c r="O262" s="381"/>
      <c r="P262" s="391">
        <f>Données!AC262</f>
        <v>0</v>
      </c>
      <c r="Q262" s="392">
        <f>Données!AD262</f>
        <v>0</v>
      </c>
      <c r="R262" s="393">
        <f t="shared" si="58"/>
        <v>0</v>
      </c>
      <c r="S262" s="394">
        <f t="shared" si="59"/>
        <v>0</v>
      </c>
      <c r="T262" s="393">
        <f t="shared" si="60"/>
        <v>160615.12170072243</v>
      </c>
      <c r="U262" s="395">
        <f t="shared" si="55"/>
        <v>160615.12170072243</v>
      </c>
    </row>
    <row r="263" spans="1:21" x14ac:dyDescent="0.25">
      <c r="A263" s="202">
        <f>Données!A263</f>
        <v>5861</v>
      </c>
      <c r="B263" s="203" t="str">
        <f>Données!B263</f>
        <v>Rolle</v>
      </c>
      <c r="C263" s="387">
        <f>Données!C263</f>
        <v>6537</v>
      </c>
      <c r="D263" s="379">
        <f t="shared" si="51"/>
        <v>1000</v>
      </c>
      <c r="E263" s="379">
        <f t="shared" si="56"/>
        <v>2000</v>
      </c>
      <c r="F263" s="388">
        <f t="shared" si="66"/>
        <v>3537</v>
      </c>
      <c r="G263" s="378">
        <f t="shared" si="66"/>
        <v>0</v>
      </c>
      <c r="H263" s="379">
        <f t="shared" si="66"/>
        <v>0</v>
      </c>
      <c r="I263" s="388">
        <f t="shared" si="66"/>
        <v>0</v>
      </c>
      <c r="J263" s="389">
        <f t="shared" si="52"/>
        <v>0</v>
      </c>
      <c r="K263" s="378"/>
      <c r="L263" s="379">
        <f t="shared" si="53"/>
        <v>-3227791.1721068248</v>
      </c>
      <c r="M263" s="388">
        <f t="shared" si="57"/>
        <v>3882225.352028023</v>
      </c>
      <c r="N263" s="390">
        <f t="shared" si="54"/>
        <v>654434.17992119817</v>
      </c>
      <c r="O263" s="381"/>
      <c r="P263" s="391">
        <f>Données!AC263</f>
        <v>330646.84999999998</v>
      </c>
      <c r="Q263" s="392">
        <f>Données!AD263</f>
        <v>14747</v>
      </c>
      <c r="R263" s="393">
        <f t="shared" si="58"/>
        <v>345393.85</v>
      </c>
      <c r="S263" s="394">
        <f t="shared" si="59"/>
        <v>-207236.30999999997</v>
      </c>
      <c r="T263" s="393">
        <f t="shared" si="60"/>
        <v>661171.94619497645</v>
      </c>
      <c r="U263" s="395">
        <f t="shared" si="55"/>
        <v>453935.63619497651</v>
      </c>
    </row>
    <row r="264" spans="1:21" x14ac:dyDescent="0.25">
      <c r="A264" s="202">
        <f>Données!A264</f>
        <v>5862</v>
      </c>
      <c r="B264" s="203" t="str">
        <f>Données!B264</f>
        <v>Tartegnin</v>
      </c>
      <c r="C264" s="387">
        <f>Données!C264</f>
        <v>238</v>
      </c>
      <c r="D264" s="379">
        <f t="shared" ref="D264:D307" si="67">IF(C264&gt;$D$5,$D$5-$D$4,C264)</f>
        <v>238</v>
      </c>
      <c r="E264" s="379">
        <f t="shared" si="56"/>
        <v>0</v>
      </c>
      <c r="F264" s="388">
        <f t="shared" si="66"/>
        <v>0</v>
      </c>
      <c r="G264" s="378">
        <f t="shared" si="66"/>
        <v>0</v>
      </c>
      <c r="H264" s="379">
        <f t="shared" si="66"/>
        <v>0</v>
      </c>
      <c r="I264" s="388">
        <f t="shared" si="66"/>
        <v>0</v>
      </c>
      <c r="J264" s="389">
        <f t="shared" ref="J264:J307" si="68">IF($C264&lt;J$4,0,$C264-J$4)</f>
        <v>0</v>
      </c>
      <c r="K264" s="378"/>
      <c r="L264" s="379">
        <f t="shared" ref="L264:L307" si="69">-SUMPRODUCT($D$6:$J$6,D264:J264)</f>
        <v>-31633.283877349157</v>
      </c>
      <c r="M264" s="388">
        <f t="shared" si="57"/>
        <v>141344.59748855277</v>
      </c>
      <c r="N264" s="390">
        <f t="shared" ref="N264:N307" si="70">SUM(L264:M264)</f>
        <v>109711.31361120362</v>
      </c>
      <c r="O264" s="381"/>
      <c r="P264" s="391">
        <f>Données!AC264</f>
        <v>0</v>
      </c>
      <c r="Q264" s="392">
        <f>Données!AD264</f>
        <v>0</v>
      </c>
      <c r="R264" s="393">
        <f t="shared" si="58"/>
        <v>0</v>
      </c>
      <c r="S264" s="394">
        <f t="shared" si="59"/>
        <v>0</v>
      </c>
      <c r="T264" s="393">
        <f t="shared" si="60"/>
        <v>24072.039650360162</v>
      </c>
      <c r="U264" s="395">
        <f t="shared" ref="U264:U308" si="71">S264+T264</f>
        <v>24072.039650360162</v>
      </c>
    </row>
    <row r="265" spans="1:21" x14ac:dyDescent="0.25">
      <c r="A265" s="202">
        <f>Données!A265</f>
        <v>5863</v>
      </c>
      <c r="B265" s="203" t="str">
        <f>Données!B265</f>
        <v>Vinzel</v>
      </c>
      <c r="C265" s="387">
        <f>Données!C265</f>
        <v>387</v>
      </c>
      <c r="D265" s="379">
        <f t="shared" si="67"/>
        <v>387</v>
      </c>
      <c r="E265" s="379">
        <f t="shared" ref="E265:E307" si="72">IF(C265&lt;$E$4,0,IF(C265&gt;$E$5,$E$5-$E$4,C265-$E$4))</f>
        <v>0</v>
      </c>
      <c r="F265" s="388">
        <f t="shared" si="66"/>
        <v>0</v>
      </c>
      <c r="G265" s="378">
        <f t="shared" si="66"/>
        <v>0</v>
      </c>
      <c r="H265" s="379">
        <f t="shared" si="66"/>
        <v>0</v>
      </c>
      <c r="I265" s="388">
        <f t="shared" si="66"/>
        <v>0</v>
      </c>
      <c r="J265" s="389">
        <f t="shared" si="68"/>
        <v>0</v>
      </c>
      <c r="K265" s="378"/>
      <c r="L265" s="379">
        <f t="shared" si="69"/>
        <v>-51437.314540059342</v>
      </c>
      <c r="M265" s="388">
        <f t="shared" ref="M265:M307" si="73">(-$L$6)/($C$308)*C265</f>
        <v>229833.44213474757</v>
      </c>
      <c r="N265" s="390">
        <f t="shared" si="70"/>
        <v>178396.12759468824</v>
      </c>
      <c r="O265" s="381"/>
      <c r="P265" s="391">
        <f>Données!AC265</f>
        <v>0</v>
      </c>
      <c r="Q265" s="392">
        <f>Données!AD265</f>
        <v>0</v>
      </c>
      <c r="R265" s="393">
        <f t="shared" ref="R265:R307" si="74">SUM(P265:Q265)</f>
        <v>0</v>
      </c>
      <c r="S265" s="394">
        <f t="shared" ref="S265:S307" si="75">-R265*$P$6</f>
        <v>0</v>
      </c>
      <c r="T265" s="393">
        <f t="shared" ref="T265:T307" si="76">-$S$6/$C$308*C265</f>
        <v>39142.35018777052</v>
      </c>
      <c r="U265" s="395">
        <f t="shared" si="71"/>
        <v>39142.35018777052</v>
      </c>
    </row>
    <row r="266" spans="1:21" x14ac:dyDescent="0.25">
      <c r="A266" s="202">
        <f>Données!A266</f>
        <v>5871</v>
      </c>
      <c r="B266" s="203" t="str">
        <f>Données!B266</f>
        <v>L'Abbaye</v>
      </c>
      <c r="C266" s="387">
        <f>Données!C266</f>
        <v>1538</v>
      </c>
      <c r="D266" s="379">
        <f t="shared" si="67"/>
        <v>1000</v>
      </c>
      <c r="E266" s="379">
        <f t="shared" si="72"/>
        <v>538</v>
      </c>
      <c r="F266" s="388">
        <f t="shared" si="66"/>
        <v>0</v>
      </c>
      <c r="G266" s="378">
        <f t="shared" si="66"/>
        <v>0</v>
      </c>
      <c r="H266" s="379">
        <f t="shared" si="66"/>
        <v>0</v>
      </c>
      <c r="I266" s="388">
        <f t="shared" si="66"/>
        <v>0</v>
      </c>
      <c r="J266" s="389">
        <f t="shared" si="68"/>
        <v>0</v>
      </c>
      <c r="K266" s="378"/>
      <c r="L266" s="379">
        <f t="shared" si="69"/>
        <v>-333133.03659742832</v>
      </c>
      <c r="M266" s="388">
        <f t="shared" si="73"/>
        <v>913394.91990501748</v>
      </c>
      <c r="N266" s="390">
        <f t="shared" si="70"/>
        <v>580261.88330758922</v>
      </c>
      <c r="O266" s="381"/>
      <c r="P266" s="391">
        <f>Données!AC266</f>
        <v>0</v>
      </c>
      <c r="Q266" s="392">
        <f>Données!AD266</f>
        <v>0</v>
      </c>
      <c r="R266" s="393">
        <f t="shared" si="74"/>
        <v>0</v>
      </c>
      <c r="S266" s="394">
        <f t="shared" si="75"/>
        <v>0</v>
      </c>
      <c r="T266" s="393">
        <f t="shared" si="76"/>
        <v>155557.97051367199</v>
      </c>
      <c r="U266" s="395">
        <f t="shared" si="71"/>
        <v>155557.97051367199</v>
      </c>
    </row>
    <row r="267" spans="1:21" x14ac:dyDescent="0.25">
      <c r="A267" s="202">
        <f>Données!A267</f>
        <v>5872</v>
      </c>
      <c r="B267" s="203" t="str">
        <f>Données!B267</f>
        <v>Le Chenit</v>
      </c>
      <c r="C267" s="387">
        <f>Données!C267</f>
        <v>4760</v>
      </c>
      <c r="D267" s="379">
        <f t="shared" si="67"/>
        <v>1000</v>
      </c>
      <c r="E267" s="379">
        <f t="shared" si="72"/>
        <v>2000</v>
      </c>
      <c r="F267" s="388">
        <f t="shared" si="66"/>
        <v>1760</v>
      </c>
      <c r="G267" s="378">
        <f t="shared" si="66"/>
        <v>0</v>
      </c>
      <c r="H267" s="379">
        <f t="shared" si="66"/>
        <v>0</v>
      </c>
      <c r="I267" s="388">
        <f t="shared" si="66"/>
        <v>0</v>
      </c>
      <c r="J267" s="389">
        <f t="shared" si="68"/>
        <v>0</v>
      </c>
      <c r="K267" s="378"/>
      <c r="L267" s="379">
        <f t="shared" si="69"/>
        <v>-2046859.5450049457</v>
      </c>
      <c r="M267" s="388">
        <f t="shared" si="73"/>
        <v>2826891.9497710555</v>
      </c>
      <c r="N267" s="390">
        <f t="shared" si="70"/>
        <v>780032.40476610977</v>
      </c>
      <c r="O267" s="381"/>
      <c r="P267" s="391">
        <f>Données!AC267</f>
        <v>0</v>
      </c>
      <c r="Q267" s="392">
        <f>Données!AD267</f>
        <v>0</v>
      </c>
      <c r="R267" s="393">
        <f t="shared" si="74"/>
        <v>0</v>
      </c>
      <c r="S267" s="394">
        <f t="shared" si="75"/>
        <v>0</v>
      </c>
      <c r="T267" s="393">
        <f t="shared" si="76"/>
        <v>481440.79300720326</v>
      </c>
      <c r="U267" s="395">
        <f t="shared" si="71"/>
        <v>481440.79300720326</v>
      </c>
    </row>
    <row r="268" spans="1:21" x14ac:dyDescent="0.25">
      <c r="A268" s="202">
        <f>Données!A268</f>
        <v>5873</v>
      </c>
      <c r="B268" s="203" t="str">
        <f>Données!B268</f>
        <v>Le Lieu</v>
      </c>
      <c r="C268" s="387">
        <f>Données!C268</f>
        <v>925</v>
      </c>
      <c r="D268" s="379">
        <f t="shared" si="67"/>
        <v>925</v>
      </c>
      <c r="E268" s="379">
        <f t="shared" si="72"/>
        <v>0</v>
      </c>
      <c r="F268" s="388">
        <f t="shared" si="66"/>
        <v>0</v>
      </c>
      <c r="G268" s="378">
        <f t="shared" si="66"/>
        <v>0</v>
      </c>
      <c r="H268" s="379">
        <f t="shared" si="66"/>
        <v>0</v>
      </c>
      <c r="I268" s="388">
        <f t="shared" si="66"/>
        <v>0</v>
      </c>
      <c r="J268" s="389">
        <f t="shared" si="68"/>
        <v>0</v>
      </c>
      <c r="K268" s="378"/>
      <c r="L268" s="379">
        <f t="shared" si="69"/>
        <v>-122944.48565776458</v>
      </c>
      <c r="M268" s="388">
        <f t="shared" si="73"/>
        <v>549343.49864248454</v>
      </c>
      <c r="N268" s="390">
        <f t="shared" si="70"/>
        <v>426399.01298471994</v>
      </c>
      <c r="O268" s="381"/>
      <c r="P268" s="391">
        <f>Données!AC268</f>
        <v>0</v>
      </c>
      <c r="Q268" s="392">
        <f>Données!AD268</f>
        <v>0</v>
      </c>
      <c r="R268" s="393">
        <f t="shared" si="74"/>
        <v>0</v>
      </c>
      <c r="S268" s="394">
        <f t="shared" si="75"/>
        <v>0</v>
      </c>
      <c r="T268" s="393">
        <f t="shared" si="76"/>
        <v>93557.296960433407</v>
      </c>
      <c r="U268" s="395">
        <f t="shared" si="71"/>
        <v>93557.296960433407</v>
      </c>
    </row>
    <row r="269" spans="1:21" x14ac:dyDescent="0.25">
      <c r="A269" s="202">
        <f>Données!A269</f>
        <v>5882</v>
      </c>
      <c r="B269" s="203" t="str">
        <f>Données!B269</f>
        <v>Chardonne</v>
      </c>
      <c r="C269" s="387">
        <f>Données!C269</f>
        <v>3340</v>
      </c>
      <c r="D269" s="379">
        <f t="shared" si="67"/>
        <v>1000</v>
      </c>
      <c r="E269" s="379">
        <f t="shared" si="72"/>
        <v>2000</v>
      </c>
      <c r="F269" s="388">
        <f t="shared" ref="F269:I278" si="77">IF($C269&lt;F$4,0,IF($C269&gt;F$5,F$5-F$4,$C269-F$4))</f>
        <v>340</v>
      </c>
      <c r="G269" s="378">
        <f t="shared" si="77"/>
        <v>0</v>
      </c>
      <c r="H269" s="379">
        <f t="shared" si="77"/>
        <v>0</v>
      </c>
      <c r="I269" s="388">
        <f t="shared" si="77"/>
        <v>0</v>
      </c>
      <c r="J269" s="389">
        <f t="shared" si="68"/>
        <v>0</v>
      </c>
      <c r="K269" s="378"/>
      <c r="L269" s="379">
        <f t="shared" si="69"/>
        <v>-1103177.546983185</v>
      </c>
      <c r="M269" s="388">
        <f t="shared" si="73"/>
        <v>1983575.4437469172</v>
      </c>
      <c r="N269" s="390">
        <f t="shared" si="70"/>
        <v>880397.89676373219</v>
      </c>
      <c r="O269" s="381"/>
      <c r="P269" s="391">
        <f>Données!AC269</f>
        <v>0</v>
      </c>
      <c r="Q269" s="392">
        <f>Données!AD269</f>
        <v>0</v>
      </c>
      <c r="R269" s="393">
        <f t="shared" si="74"/>
        <v>0</v>
      </c>
      <c r="S269" s="394">
        <f t="shared" si="75"/>
        <v>0</v>
      </c>
      <c r="T269" s="393">
        <f t="shared" si="76"/>
        <v>337817.69929497037</v>
      </c>
      <c r="U269" s="395">
        <f t="shared" si="71"/>
        <v>337817.69929497037</v>
      </c>
    </row>
    <row r="270" spans="1:21" x14ac:dyDescent="0.25">
      <c r="A270" s="202">
        <f>Données!A270</f>
        <v>5883</v>
      </c>
      <c r="B270" s="203" t="str">
        <f>Données!B270</f>
        <v>Corseaux</v>
      </c>
      <c r="C270" s="387">
        <f>Données!C270</f>
        <v>2322</v>
      </c>
      <c r="D270" s="379">
        <f t="shared" si="67"/>
        <v>1000</v>
      </c>
      <c r="E270" s="379">
        <f t="shared" si="72"/>
        <v>1322</v>
      </c>
      <c r="F270" s="388">
        <f t="shared" si="77"/>
        <v>0</v>
      </c>
      <c r="G270" s="378">
        <f t="shared" si="77"/>
        <v>0</v>
      </c>
      <c r="H270" s="379">
        <f t="shared" si="77"/>
        <v>0</v>
      </c>
      <c r="I270" s="388">
        <f t="shared" si="77"/>
        <v>0</v>
      </c>
      <c r="J270" s="389">
        <f t="shared" si="68"/>
        <v>0</v>
      </c>
      <c r="K270" s="378"/>
      <c r="L270" s="379">
        <f t="shared" si="69"/>
        <v>-624903.56083086063</v>
      </c>
      <c r="M270" s="388">
        <f t="shared" si="73"/>
        <v>1379000.6528084856</v>
      </c>
      <c r="N270" s="390">
        <f t="shared" si="70"/>
        <v>754097.09197762492</v>
      </c>
      <c r="O270" s="381"/>
      <c r="P270" s="391">
        <f>Données!AC270</f>
        <v>334404</v>
      </c>
      <c r="Q270" s="392">
        <f>Données!AD270</f>
        <v>-43059</v>
      </c>
      <c r="R270" s="393">
        <f t="shared" si="74"/>
        <v>291345</v>
      </c>
      <c r="S270" s="394">
        <f t="shared" si="75"/>
        <v>-174807</v>
      </c>
      <c r="T270" s="393">
        <f t="shared" si="76"/>
        <v>234854.10112662311</v>
      </c>
      <c r="U270" s="395">
        <f t="shared" si="71"/>
        <v>60047.101126623107</v>
      </c>
    </row>
    <row r="271" spans="1:21" x14ac:dyDescent="0.25">
      <c r="A271" s="202">
        <f>Données!A271</f>
        <v>5884</v>
      </c>
      <c r="B271" s="203" t="str">
        <f>Données!B271</f>
        <v>Corsier-sur-Vevey</v>
      </c>
      <c r="C271" s="387">
        <f>Données!C271</f>
        <v>3389</v>
      </c>
      <c r="D271" s="379">
        <f t="shared" si="67"/>
        <v>1000</v>
      </c>
      <c r="E271" s="379">
        <f t="shared" si="72"/>
        <v>2000</v>
      </c>
      <c r="F271" s="388">
        <f t="shared" si="77"/>
        <v>389</v>
      </c>
      <c r="G271" s="378">
        <f t="shared" si="77"/>
        <v>0</v>
      </c>
      <c r="H271" s="379">
        <f t="shared" si="77"/>
        <v>0</v>
      </c>
      <c r="I271" s="388">
        <f t="shared" si="77"/>
        <v>0</v>
      </c>
      <c r="J271" s="389">
        <f t="shared" si="68"/>
        <v>0</v>
      </c>
      <c r="K271" s="378"/>
      <c r="L271" s="379">
        <f t="shared" si="69"/>
        <v>-1135741.2215628093</v>
      </c>
      <c r="M271" s="388">
        <f t="shared" si="73"/>
        <v>2012675.8020533838</v>
      </c>
      <c r="N271" s="390">
        <f t="shared" si="70"/>
        <v>876934.58049057447</v>
      </c>
      <c r="O271" s="381"/>
      <c r="P271" s="391">
        <f>Données!AC271</f>
        <v>903369</v>
      </c>
      <c r="Q271" s="392">
        <f>Données!AD271</f>
        <v>-107020</v>
      </c>
      <c r="R271" s="393">
        <f t="shared" si="74"/>
        <v>796349</v>
      </c>
      <c r="S271" s="394">
        <f t="shared" si="75"/>
        <v>-477809.39999999997</v>
      </c>
      <c r="T271" s="393">
        <f t="shared" si="76"/>
        <v>342773.70745827979</v>
      </c>
      <c r="U271" s="395">
        <f t="shared" si="71"/>
        <v>-135035.69254172017</v>
      </c>
    </row>
    <row r="272" spans="1:21" x14ac:dyDescent="0.25">
      <c r="A272" s="202">
        <f>Données!A272</f>
        <v>5885</v>
      </c>
      <c r="B272" s="203" t="str">
        <f>Données!B272</f>
        <v>Jongny</v>
      </c>
      <c r="C272" s="387">
        <f>Données!C272</f>
        <v>1921</v>
      </c>
      <c r="D272" s="379">
        <f t="shared" si="67"/>
        <v>1000</v>
      </c>
      <c r="E272" s="379">
        <f t="shared" si="72"/>
        <v>921</v>
      </c>
      <c r="F272" s="388">
        <f t="shared" si="77"/>
        <v>0</v>
      </c>
      <c r="G272" s="378">
        <f t="shared" si="77"/>
        <v>0</v>
      </c>
      <c r="H272" s="379">
        <f t="shared" si="77"/>
        <v>0</v>
      </c>
      <c r="I272" s="388">
        <f t="shared" si="77"/>
        <v>0</v>
      </c>
      <c r="J272" s="389">
        <f t="shared" si="68"/>
        <v>0</v>
      </c>
      <c r="K272" s="378"/>
      <c r="L272" s="379">
        <f t="shared" si="69"/>
        <v>-475668.89218595455</v>
      </c>
      <c r="M272" s="388">
        <f t="shared" si="73"/>
        <v>1140852.822586176</v>
      </c>
      <c r="N272" s="390">
        <f t="shared" si="70"/>
        <v>665183.93040022138</v>
      </c>
      <c r="O272" s="381"/>
      <c r="P272" s="391">
        <f>Données!AC272</f>
        <v>0</v>
      </c>
      <c r="Q272" s="392">
        <f>Données!AD272</f>
        <v>0</v>
      </c>
      <c r="R272" s="393">
        <f t="shared" si="74"/>
        <v>0</v>
      </c>
      <c r="S272" s="394">
        <f t="shared" si="75"/>
        <v>0</v>
      </c>
      <c r="T272" s="393">
        <f t="shared" si="76"/>
        <v>194295.74860647845</v>
      </c>
      <c r="U272" s="395">
        <f t="shared" si="71"/>
        <v>194295.74860647845</v>
      </c>
    </row>
    <row r="273" spans="1:21" x14ac:dyDescent="0.25">
      <c r="A273" s="202">
        <f>Données!A273</f>
        <v>5886</v>
      </c>
      <c r="B273" s="203" t="str">
        <f>Données!B273</f>
        <v>Montreux</v>
      </c>
      <c r="C273" s="387">
        <f>Données!C273</f>
        <v>26964</v>
      </c>
      <c r="D273" s="379">
        <f t="shared" si="67"/>
        <v>1000</v>
      </c>
      <c r="E273" s="379">
        <f t="shared" si="72"/>
        <v>2000</v>
      </c>
      <c r="F273" s="388">
        <f t="shared" si="77"/>
        <v>9000</v>
      </c>
      <c r="G273" s="378">
        <f t="shared" si="77"/>
        <v>3000</v>
      </c>
      <c r="H273" s="379">
        <f t="shared" si="77"/>
        <v>11964</v>
      </c>
      <c r="I273" s="388">
        <f t="shared" si="77"/>
        <v>0</v>
      </c>
      <c r="J273" s="389">
        <f t="shared" si="68"/>
        <v>0</v>
      </c>
      <c r="K273" s="378"/>
      <c r="L273" s="379">
        <f t="shared" si="69"/>
        <v>-23405652.818991102</v>
      </c>
      <c r="M273" s="388">
        <f t="shared" si="73"/>
        <v>16013511.456644274</v>
      </c>
      <c r="N273" s="390">
        <f t="shared" si="70"/>
        <v>-7392141.362346828</v>
      </c>
      <c r="O273" s="381"/>
      <c r="P273" s="391">
        <f>Données!AC273</f>
        <v>5264177</v>
      </c>
      <c r="Q273" s="392">
        <f>Données!AD273</f>
        <v>-1463346</v>
      </c>
      <c r="R273" s="393">
        <f t="shared" si="74"/>
        <v>3800831</v>
      </c>
      <c r="S273" s="394">
        <f t="shared" si="75"/>
        <v>-2280498.6</v>
      </c>
      <c r="T273" s="393">
        <f t="shared" si="76"/>
        <v>2727220.4921525689</v>
      </c>
      <c r="U273" s="395">
        <f t="shared" si="71"/>
        <v>446721.89215256879</v>
      </c>
    </row>
    <row r="274" spans="1:21" x14ac:dyDescent="0.25">
      <c r="A274" s="202">
        <f>Données!A274</f>
        <v>5889</v>
      </c>
      <c r="B274" s="203" t="str">
        <f>Données!B274</f>
        <v>La Tour-de-Peilz</v>
      </c>
      <c r="C274" s="387">
        <f>Données!C274</f>
        <v>12812</v>
      </c>
      <c r="D274" s="379">
        <f t="shared" si="67"/>
        <v>1000</v>
      </c>
      <c r="E274" s="379">
        <f t="shared" si="72"/>
        <v>2000</v>
      </c>
      <c r="F274" s="388">
        <f t="shared" si="77"/>
        <v>9000</v>
      </c>
      <c r="G274" s="378">
        <f t="shared" si="77"/>
        <v>812</v>
      </c>
      <c r="H274" s="379">
        <f t="shared" si="77"/>
        <v>0</v>
      </c>
      <c r="I274" s="388">
        <f t="shared" si="77"/>
        <v>0</v>
      </c>
      <c r="J274" s="389">
        <f t="shared" si="68"/>
        <v>0</v>
      </c>
      <c r="K274" s="378"/>
      <c r="L274" s="379">
        <f t="shared" si="69"/>
        <v>-7721711.1770524234</v>
      </c>
      <c r="M274" s="388">
        <f t="shared" si="73"/>
        <v>7608852.8698459584</v>
      </c>
      <c r="N274" s="390">
        <f t="shared" si="70"/>
        <v>-112858.30720646493</v>
      </c>
      <c r="O274" s="381"/>
      <c r="P274" s="391">
        <f>Données!AC274</f>
        <v>2354546</v>
      </c>
      <c r="Q274" s="392">
        <f>Données!AD274</f>
        <v>-470167</v>
      </c>
      <c r="R274" s="393">
        <f t="shared" si="74"/>
        <v>1884379</v>
      </c>
      <c r="S274" s="394">
        <f t="shared" si="75"/>
        <v>-1130627.3999999999</v>
      </c>
      <c r="T274" s="393">
        <f t="shared" si="76"/>
        <v>1295844.4201698084</v>
      </c>
      <c r="U274" s="395">
        <f t="shared" si="71"/>
        <v>165217.02016980853</v>
      </c>
    </row>
    <row r="275" spans="1:21" x14ac:dyDescent="0.25">
      <c r="A275" s="202">
        <f>Données!A275</f>
        <v>5890</v>
      </c>
      <c r="B275" s="203" t="str">
        <f>Données!B275</f>
        <v>Vevey</v>
      </c>
      <c r="C275" s="387">
        <f>Données!C275</f>
        <v>20146</v>
      </c>
      <c r="D275" s="379">
        <f t="shared" si="67"/>
        <v>1000</v>
      </c>
      <c r="E275" s="379">
        <f t="shared" si="72"/>
        <v>2000</v>
      </c>
      <c r="F275" s="388">
        <f t="shared" si="77"/>
        <v>9000</v>
      </c>
      <c r="G275" s="378">
        <f t="shared" si="77"/>
        <v>3000</v>
      </c>
      <c r="H275" s="379">
        <f t="shared" si="77"/>
        <v>5146</v>
      </c>
      <c r="I275" s="388">
        <f t="shared" si="77"/>
        <v>0</v>
      </c>
      <c r="J275" s="389">
        <f t="shared" si="68"/>
        <v>0</v>
      </c>
      <c r="K275" s="378"/>
      <c r="L275" s="379">
        <f t="shared" si="69"/>
        <v>-15793568.249258161</v>
      </c>
      <c r="M275" s="388">
        <f t="shared" si="73"/>
        <v>11964404.458001615</v>
      </c>
      <c r="N275" s="390">
        <f t="shared" si="70"/>
        <v>-3829163.7912565451</v>
      </c>
      <c r="O275" s="381"/>
      <c r="P275" s="391">
        <f>Données!AC275</f>
        <v>3939390</v>
      </c>
      <c r="Q275" s="392">
        <f>Données!AD275</f>
        <v>-811334</v>
      </c>
      <c r="R275" s="393">
        <f t="shared" si="74"/>
        <v>3128056</v>
      </c>
      <c r="S275" s="394">
        <f t="shared" si="75"/>
        <v>-1876833.5999999999</v>
      </c>
      <c r="T275" s="393">
        <f t="shared" si="76"/>
        <v>2037627.356286369</v>
      </c>
      <c r="U275" s="395">
        <f t="shared" si="71"/>
        <v>160793.75628636917</v>
      </c>
    </row>
    <row r="276" spans="1:21" x14ac:dyDescent="0.25">
      <c r="A276" s="202">
        <f>Données!A276</f>
        <v>5891</v>
      </c>
      <c r="B276" s="203" t="str">
        <f>Données!B276</f>
        <v>Veytaux</v>
      </c>
      <c r="C276" s="387">
        <f>Données!C276</f>
        <v>1043</v>
      </c>
      <c r="D276" s="379">
        <f t="shared" si="67"/>
        <v>1000</v>
      </c>
      <c r="E276" s="379">
        <f t="shared" si="72"/>
        <v>43</v>
      </c>
      <c r="F276" s="388">
        <f t="shared" si="77"/>
        <v>0</v>
      </c>
      <c r="G276" s="378">
        <f t="shared" si="77"/>
        <v>0</v>
      </c>
      <c r="H276" s="379">
        <f t="shared" si="77"/>
        <v>0</v>
      </c>
      <c r="I276" s="388">
        <f t="shared" si="77"/>
        <v>0</v>
      </c>
      <c r="J276" s="389">
        <f t="shared" si="68"/>
        <v>0</v>
      </c>
      <c r="K276" s="378"/>
      <c r="L276" s="379">
        <f t="shared" si="69"/>
        <v>-148915.67754698318</v>
      </c>
      <c r="M276" s="388">
        <f t="shared" si="73"/>
        <v>619421.9125233636</v>
      </c>
      <c r="N276" s="390">
        <f t="shared" si="70"/>
        <v>470506.23497638042</v>
      </c>
      <c r="O276" s="381"/>
      <c r="P276" s="391">
        <f>Données!AC276</f>
        <v>356834</v>
      </c>
      <c r="Q276" s="392">
        <f>Données!AD276</f>
        <v>-152466</v>
      </c>
      <c r="R276" s="393">
        <f t="shared" si="74"/>
        <v>204368</v>
      </c>
      <c r="S276" s="394">
        <f t="shared" si="75"/>
        <v>-122620.79999999999</v>
      </c>
      <c r="T276" s="393">
        <f t="shared" si="76"/>
        <v>105492.17376187247</v>
      </c>
      <c r="U276" s="395">
        <f t="shared" si="71"/>
        <v>-17128.626238127516</v>
      </c>
    </row>
    <row r="277" spans="1:21" x14ac:dyDescent="0.25">
      <c r="A277" s="202">
        <f>Données!A277</f>
        <v>5892</v>
      </c>
      <c r="B277" s="203" t="str">
        <f>Données!B277</f>
        <v>Blonay-Saint-Légier</v>
      </c>
      <c r="C277" s="387">
        <f>Données!C277</f>
        <v>12463</v>
      </c>
      <c r="D277" s="379">
        <f t="shared" si="67"/>
        <v>1000</v>
      </c>
      <c r="E277" s="379">
        <f t="shared" si="72"/>
        <v>2000</v>
      </c>
      <c r="F277" s="388">
        <f t="shared" si="77"/>
        <v>9000</v>
      </c>
      <c r="G277" s="378">
        <f t="shared" si="77"/>
        <v>463</v>
      </c>
      <c r="H277" s="379">
        <f t="shared" si="77"/>
        <v>0</v>
      </c>
      <c r="I277" s="388">
        <f t="shared" si="77"/>
        <v>0</v>
      </c>
      <c r="J277" s="389">
        <f t="shared" si="68"/>
        <v>0</v>
      </c>
      <c r="K277" s="378"/>
      <c r="L277" s="379">
        <f t="shared" si="69"/>
        <v>-7350618.1998021761</v>
      </c>
      <c r="M277" s="388">
        <f t="shared" si="73"/>
        <v>7401587.0525203077</v>
      </c>
      <c r="N277" s="390">
        <f t="shared" si="70"/>
        <v>50968.852718131617</v>
      </c>
      <c r="O277" s="381"/>
      <c r="P277" s="391">
        <f>Données!AC277</f>
        <v>1135023</v>
      </c>
      <c r="Q277" s="392">
        <f>Données!AD277</f>
        <v>-102879</v>
      </c>
      <c r="R277" s="393">
        <f t="shared" si="74"/>
        <v>1032144</v>
      </c>
      <c r="S277" s="394">
        <f t="shared" si="75"/>
        <v>-619286.4</v>
      </c>
      <c r="T277" s="393">
        <f t="shared" si="76"/>
        <v>1260545.5048841962</v>
      </c>
      <c r="U277" s="395">
        <f t="shared" si="71"/>
        <v>641259.10488419619</v>
      </c>
    </row>
    <row r="278" spans="1:21" x14ac:dyDescent="0.25">
      <c r="A278" s="202">
        <f>Données!A278</f>
        <v>5902</v>
      </c>
      <c r="B278" s="203" t="str">
        <f>Données!B278</f>
        <v>Belmont-sur-Yverdon</v>
      </c>
      <c r="C278" s="387">
        <f>Données!C278</f>
        <v>445</v>
      </c>
      <c r="D278" s="379">
        <f t="shared" si="67"/>
        <v>445</v>
      </c>
      <c r="E278" s="379">
        <f t="shared" si="72"/>
        <v>0</v>
      </c>
      <c r="F278" s="388">
        <f t="shared" si="77"/>
        <v>0</v>
      </c>
      <c r="G278" s="378">
        <f t="shared" si="77"/>
        <v>0</v>
      </c>
      <c r="H278" s="379">
        <f t="shared" si="77"/>
        <v>0</v>
      </c>
      <c r="I278" s="388">
        <f t="shared" si="77"/>
        <v>0</v>
      </c>
      <c r="J278" s="389">
        <f t="shared" si="68"/>
        <v>0</v>
      </c>
      <c r="K278" s="378"/>
      <c r="L278" s="379">
        <f t="shared" si="69"/>
        <v>-59146.266073194856</v>
      </c>
      <c r="M278" s="388">
        <f t="shared" si="73"/>
        <v>264278.76421178988</v>
      </c>
      <c r="N278" s="390">
        <f t="shared" si="70"/>
        <v>205132.49813859502</v>
      </c>
      <c r="O278" s="381"/>
      <c r="P278" s="391">
        <f>Données!AC278</f>
        <v>0</v>
      </c>
      <c r="Q278" s="392">
        <f>Données!AD278</f>
        <v>0</v>
      </c>
      <c r="R278" s="393">
        <f t="shared" si="74"/>
        <v>0</v>
      </c>
      <c r="S278" s="394">
        <f t="shared" si="75"/>
        <v>0</v>
      </c>
      <c r="T278" s="393">
        <f t="shared" si="76"/>
        <v>45008.645564749044</v>
      </c>
      <c r="U278" s="395">
        <f t="shared" si="71"/>
        <v>45008.645564749044</v>
      </c>
    </row>
    <row r="279" spans="1:21" x14ac:dyDescent="0.25">
      <c r="A279" s="202">
        <f>Données!A279</f>
        <v>5903</v>
      </c>
      <c r="B279" s="203" t="str">
        <f>Données!B279</f>
        <v>Bioley-Magnoux</v>
      </c>
      <c r="C279" s="387">
        <f>Données!C279</f>
        <v>257</v>
      </c>
      <c r="D279" s="379">
        <f t="shared" si="67"/>
        <v>257</v>
      </c>
      <c r="E279" s="379">
        <f t="shared" si="72"/>
        <v>0</v>
      </c>
      <c r="F279" s="388">
        <f t="shared" ref="F279:I288" si="78">IF($C279&lt;F$4,0,IF($C279&gt;F$5,F$5-F$4,$C279-F$4))</f>
        <v>0</v>
      </c>
      <c r="G279" s="378">
        <f t="shared" si="78"/>
        <v>0</v>
      </c>
      <c r="H279" s="379">
        <f t="shared" si="78"/>
        <v>0</v>
      </c>
      <c r="I279" s="388">
        <f t="shared" si="78"/>
        <v>0</v>
      </c>
      <c r="J279" s="389">
        <f t="shared" si="68"/>
        <v>0</v>
      </c>
      <c r="K279" s="378"/>
      <c r="L279" s="379">
        <f t="shared" si="69"/>
        <v>-34158.630069238374</v>
      </c>
      <c r="M279" s="388">
        <f t="shared" si="73"/>
        <v>152628.40989310111</v>
      </c>
      <c r="N279" s="390">
        <f t="shared" si="70"/>
        <v>118469.77982386274</v>
      </c>
      <c r="O279" s="381"/>
      <c r="P279" s="391">
        <f>Données!AC279</f>
        <v>0</v>
      </c>
      <c r="Q279" s="392">
        <f>Données!AD279</f>
        <v>0</v>
      </c>
      <c r="R279" s="393">
        <f t="shared" si="74"/>
        <v>0</v>
      </c>
      <c r="S279" s="394">
        <f t="shared" si="75"/>
        <v>0</v>
      </c>
      <c r="T279" s="393">
        <f t="shared" si="76"/>
        <v>25993.757101439336</v>
      </c>
      <c r="U279" s="395">
        <f t="shared" si="71"/>
        <v>25993.757101439336</v>
      </c>
    </row>
    <row r="280" spans="1:21" x14ac:dyDescent="0.25">
      <c r="A280" s="202">
        <f>Données!A280</f>
        <v>5904</v>
      </c>
      <c r="B280" s="203" t="str">
        <f>Données!B280</f>
        <v>Chamblon</v>
      </c>
      <c r="C280" s="387">
        <f>Données!C280</f>
        <v>554</v>
      </c>
      <c r="D280" s="379">
        <f t="shared" si="67"/>
        <v>554</v>
      </c>
      <c r="E280" s="379">
        <f t="shared" si="72"/>
        <v>0</v>
      </c>
      <c r="F280" s="388">
        <f t="shared" si="78"/>
        <v>0</v>
      </c>
      <c r="G280" s="378">
        <f t="shared" si="78"/>
        <v>0</v>
      </c>
      <c r="H280" s="379">
        <f t="shared" si="78"/>
        <v>0</v>
      </c>
      <c r="I280" s="388">
        <f t="shared" si="78"/>
        <v>0</v>
      </c>
      <c r="J280" s="389">
        <f t="shared" si="68"/>
        <v>0</v>
      </c>
      <c r="K280" s="378"/>
      <c r="L280" s="379">
        <f t="shared" si="69"/>
        <v>-73633.778437190893</v>
      </c>
      <c r="M280" s="388">
        <f t="shared" si="73"/>
        <v>329012.21432209347</v>
      </c>
      <c r="N280" s="390">
        <f t="shared" si="70"/>
        <v>255378.43588490257</v>
      </c>
      <c r="O280" s="381"/>
      <c r="P280" s="391">
        <f>Données!AC280</f>
        <v>0</v>
      </c>
      <c r="Q280" s="392">
        <f>Données!AD280</f>
        <v>0</v>
      </c>
      <c r="R280" s="393">
        <f t="shared" si="74"/>
        <v>0</v>
      </c>
      <c r="S280" s="394">
        <f t="shared" si="75"/>
        <v>0</v>
      </c>
      <c r="T280" s="393">
        <f t="shared" si="76"/>
        <v>56033.235152519032</v>
      </c>
      <c r="U280" s="395">
        <f t="shared" si="71"/>
        <v>56033.235152519032</v>
      </c>
    </row>
    <row r="281" spans="1:21" x14ac:dyDescent="0.25">
      <c r="A281" s="202">
        <f>Données!A281</f>
        <v>5905</v>
      </c>
      <c r="B281" s="203" t="str">
        <f>Données!B281</f>
        <v>Champvent</v>
      </c>
      <c r="C281" s="387">
        <f>Données!C281</f>
        <v>725</v>
      </c>
      <c r="D281" s="379">
        <f t="shared" si="67"/>
        <v>725</v>
      </c>
      <c r="E281" s="379">
        <f t="shared" si="72"/>
        <v>0</v>
      </c>
      <c r="F281" s="388">
        <f t="shared" si="78"/>
        <v>0</v>
      </c>
      <c r="G281" s="378">
        <f t="shared" si="78"/>
        <v>0</v>
      </c>
      <c r="H281" s="379">
        <f t="shared" si="78"/>
        <v>0</v>
      </c>
      <c r="I281" s="388">
        <f t="shared" si="78"/>
        <v>0</v>
      </c>
      <c r="J281" s="389">
        <f t="shared" si="68"/>
        <v>0</v>
      </c>
      <c r="K281" s="378"/>
      <c r="L281" s="379">
        <f t="shared" si="69"/>
        <v>-96361.894164193858</v>
      </c>
      <c r="M281" s="388">
        <f t="shared" si="73"/>
        <v>430566.52596302843</v>
      </c>
      <c r="N281" s="390">
        <f t="shared" si="70"/>
        <v>334204.63179883454</v>
      </c>
      <c r="O281" s="381"/>
      <c r="P281" s="391">
        <f>Données!AC281</f>
        <v>0</v>
      </c>
      <c r="Q281" s="392">
        <f>Données!AD281</f>
        <v>0</v>
      </c>
      <c r="R281" s="393">
        <f t="shared" si="74"/>
        <v>0</v>
      </c>
      <c r="S281" s="394">
        <f t="shared" si="75"/>
        <v>0</v>
      </c>
      <c r="T281" s="393">
        <f t="shared" si="76"/>
        <v>73328.692212231588</v>
      </c>
      <c r="U281" s="395">
        <f t="shared" si="71"/>
        <v>73328.692212231588</v>
      </c>
    </row>
    <row r="282" spans="1:21" x14ac:dyDescent="0.25">
      <c r="A282" s="202">
        <f>Données!A282</f>
        <v>5907</v>
      </c>
      <c r="B282" s="203" t="str">
        <f>Données!B282</f>
        <v>Chavannes-le-Chêne</v>
      </c>
      <c r="C282" s="387">
        <f>Données!C282</f>
        <v>322</v>
      </c>
      <c r="D282" s="379">
        <f t="shared" si="67"/>
        <v>322</v>
      </c>
      <c r="E282" s="379">
        <f t="shared" si="72"/>
        <v>0</v>
      </c>
      <c r="F282" s="388">
        <f t="shared" si="78"/>
        <v>0</v>
      </c>
      <c r="G282" s="378">
        <f t="shared" si="78"/>
        <v>0</v>
      </c>
      <c r="H282" s="379">
        <f t="shared" si="78"/>
        <v>0</v>
      </c>
      <c r="I282" s="388">
        <f t="shared" si="78"/>
        <v>0</v>
      </c>
      <c r="J282" s="389">
        <f t="shared" si="68"/>
        <v>0</v>
      </c>
      <c r="K282" s="378"/>
      <c r="L282" s="379">
        <f t="shared" si="69"/>
        <v>-42797.972304648858</v>
      </c>
      <c r="M282" s="388">
        <f t="shared" si="73"/>
        <v>191230.92601392436</v>
      </c>
      <c r="N282" s="390">
        <f t="shared" si="70"/>
        <v>148432.95370927549</v>
      </c>
      <c r="O282" s="381"/>
      <c r="P282" s="391">
        <f>Données!AC282</f>
        <v>0</v>
      </c>
      <c r="Q282" s="392">
        <f>Données!AD282</f>
        <v>0</v>
      </c>
      <c r="R282" s="393">
        <f t="shared" si="74"/>
        <v>0</v>
      </c>
      <c r="S282" s="394">
        <f t="shared" si="75"/>
        <v>0</v>
      </c>
      <c r="T282" s="393">
        <f t="shared" si="76"/>
        <v>32568.053644604926</v>
      </c>
      <c r="U282" s="395">
        <f t="shared" si="71"/>
        <v>32568.053644604926</v>
      </c>
    </row>
    <row r="283" spans="1:21" x14ac:dyDescent="0.25">
      <c r="A283" s="202">
        <f>Données!A283</f>
        <v>5908</v>
      </c>
      <c r="B283" s="203" t="str">
        <f>Données!B283</f>
        <v>Chêne-Pâquier</v>
      </c>
      <c r="C283" s="387">
        <f>Données!C283</f>
        <v>173</v>
      </c>
      <c r="D283" s="379">
        <f t="shared" si="67"/>
        <v>173</v>
      </c>
      <c r="E283" s="379">
        <f t="shared" si="72"/>
        <v>0</v>
      </c>
      <c r="F283" s="388">
        <f t="shared" si="78"/>
        <v>0</v>
      </c>
      <c r="G283" s="378">
        <f t="shared" si="78"/>
        <v>0</v>
      </c>
      <c r="H283" s="379">
        <f t="shared" si="78"/>
        <v>0</v>
      </c>
      <c r="I283" s="388">
        <f t="shared" si="78"/>
        <v>0</v>
      </c>
      <c r="J283" s="389">
        <f t="shared" si="68"/>
        <v>0</v>
      </c>
      <c r="K283" s="378"/>
      <c r="L283" s="379">
        <f t="shared" si="69"/>
        <v>-22993.941641938673</v>
      </c>
      <c r="M283" s="388">
        <f t="shared" si="73"/>
        <v>102742.08136772954</v>
      </c>
      <c r="N283" s="390">
        <f t="shared" si="70"/>
        <v>79748.139725790868</v>
      </c>
      <c r="O283" s="381"/>
      <c r="P283" s="391">
        <f>Données!AC283</f>
        <v>0</v>
      </c>
      <c r="Q283" s="392">
        <f>Données!AD283</f>
        <v>0</v>
      </c>
      <c r="R283" s="393">
        <f t="shared" si="74"/>
        <v>0</v>
      </c>
      <c r="S283" s="394">
        <f t="shared" si="75"/>
        <v>0</v>
      </c>
      <c r="T283" s="393">
        <f t="shared" si="76"/>
        <v>17497.743107194572</v>
      </c>
      <c r="U283" s="395">
        <f t="shared" si="71"/>
        <v>17497.743107194572</v>
      </c>
    </row>
    <row r="284" spans="1:21" x14ac:dyDescent="0.25">
      <c r="A284" s="202">
        <f>Données!A284</f>
        <v>5909</v>
      </c>
      <c r="B284" s="203" t="str">
        <f>Données!B284</f>
        <v>Cheseaux-Noréaz</v>
      </c>
      <c r="C284" s="387">
        <f>Données!C284</f>
        <v>734</v>
      </c>
      <c r="D284" s="379">
        <f t="shared" si="67"/>
        <v>734</v>
      </c>
      <c r="E284" s="379">
        <f t="shared" si="72"/>
        <v>0</v>
      </c>
      <c r="F284" s="388">
        <f t="shared" si="78"/>
        <v>0</v>
      </c>
      <c r="G284" s="378">
        <f t="shared" si="78"/>
        <v>0</v>
      </c>
      <c r="H284" s="379">
        <f t="shared" si="78"/>
        <v>0</v>
      </c>
      <c r="I284" s="388">
        <f t="shared" si="78"/>
        <v>0</v>
      </c>
      <c r="J284" s="389">
        <f t="shared" si="68"/>
        <v>0</v>
      </c>
      <c r="K284" s="378"/>
      <c r="L284" s="379">
        <f t="shared" si="69"/>
        <v>-97558.110781404539</v>
      </c>
      <c r="M284" s="388">
        <f t="shared" si="73"/>
        <v>435911.48973360396</v>
      </c>
      <c r="N284" s="390">
        <f t="shared" si="70"/>
        <v>338353.37895219942</v>
      </c>
      <c r="O284" s="381"/>
      <c r="P284" s="391">
        <f>Données!AC284</f>
        <v>90365</v>
      </c>
      <c r="Q284" s="392">
        <f>Données!AD284</f>
        <v>0</v>
      </c>
      <c r="R284" s="393">
        <f t="shared" si="74"/>
        <v>90365</v>
      </c>
      <c r="S284" s="394">
        <f t="shared" si="75"/>
        <v>-54219</v>
      </c>
      <c r="T284" s="393">
        <f t="shared" si="76"/>
        <v>74238.979425900674</v>
      </c>
      <c r="U284" s="395">
        <f t="shared" si="71"/>
        <v>20019.979425900674</v>
      </c>
    </row>
    <row r="285" spans="1:21" x14ac:dyDescent="0.25">
      <c r="A285" s="202">
        <f>Données!A285</f>
        <v>5910</v>
      </c>
      <c r="B285" s="203" t="str">
        <f>Données!B285</f>
        <v>Cronay</v>
      </c>
      <c r="C285" s="387">
        <f>Données!C285</f>
        <v>425</v>
      </c>
      <c r="D285" s="379">
        <f t="shared" si="67"/>
        <v>425</v>
      </c>
      <c r="E285" s="379">
        <f t="shared" si="72"/>
        <v>0</v>
      </c>
      <c r="F285" s="388">
        <f t="shared" si="78"/>
        <v>0</v>
      </c>
      <c r="G285" s="378">
        <f t="shared" si="78"/>
        <v>0</v>
      </c>
      <c r="H285" s="379">
        <f t="shared" si="78"/>
        <v>0</v>
      </c>
      <c r="I285" s="388">
        <f t="shared" si="78"/>
        <v>0</v>
      </c>
      <c r="J285" s="389">
        <f t="shared" si="68"/>
        <v>0</v>
      </c>
      <c r="K285" s="378"/>
      <c r="L285" s="379">
        <f t="shared" si="69"/>
        <v>-56488.006923837784</v>
      </c>
      <c r="M285" s="388">
        <f t="shared" si="73"/>
        <v>252401.06694384426</v>
      </c>
      <c r="N285" s="390">
        <f t="shared" si="70"/>
        <v>195913.06002000647</v>
      </c>
      <c r="O285" s="381"/>
      <c r="P285" s="391">
        <f>Données!AC285</f>
        <v>0</v>
      </c>
      <c r="Q285" s="392">
        <f>Données!AD285</f>
        <v>0</v>
      </c>
      <c r="R285" s="393">
        <f t="shared" si="74"/>
        <v>0</v>
      </c>
      <c r="S285" s="394">
        <f t="shared" si="75"/>
        <v>0</v>
      </c>
      <c r="T285" s="393">
        <f t="shared" si="76"/>
        <v>42985.785089928861</v>
      </c>
      <c r="U285" s="395">
        <f t="shared" si="71"/>
        <v>42985.785089928861</v>
      </c>
    </row>
    <row r="286" spans="1:21" x14ac:dyDescent="0.25">
      <c r="A286" s="202">
        <f>Données!A286</f>
        <v>5911</v>
      </c>
      <c r="B286" s="203" t="str">
        <f>Données!B286</f>
        <v>Cuarny</v>
      </c>
      <c r="C286" s="387">
        <f>Données!C286</f>
        <v>241</v>
      </c>
      <c r="D286" s="379">
        <f t="shared" si="67"/>
        <v>241</v>
      </c>
      <c r="E286" s="379">
        <f t="shared" si="72"/>
        <v>0</v>
      </c>
      <c r="F286" s="388">
        <f t="shared" si="78"/>
        <v>0</v>
      </c>
      <c r="G286" s="378">
        <f t="shared" si="78"/>
        <v>0</v>
      </c>
      <c r="H286" s="379">
        <f t="shared" si="78"/>
        <v>0</v>
      </c>
      <c r="I286" s="388">
        <f t="shared" si="78"/>
        <v>0</v>
      </c>
      <c r="J286" s="389">
        <f t="shared" si="68"/>
        <v>0</v>
      </c>
      <c r="K286" s="378"/>
      <c r="L286" s="379">
        <f t="shared" si="69"/>
        <v>-32032.022749752719</v>
      </c>
      <c r="M286" s="388">
        <f t="shared" si="73"/>
        <v>143126.25207874461</v>
      </c>
      <c r="N286" s="390">
        <f t="shared" si="70"/>
        <v>111094.22932899189</v>
      </c>
      <c r="O286" s="381"/>
      <c r="P286" s="391">
        <f>Données!AC286</f>
        <v>0</v>
      </c>
      <c r="Q286" s="392">
        <f>Données!AD286</f>
        <v>0</v>
      </c>
      <c r="R286" s="393">
        <f t="shared" si="74"/>
        <v>0</v>
      </c>
      <c r="S286" s="394">
        <f t="shared" si="75"/>
        <v>0</v>
      </c>
      <c r="T286" s="393">
        <f t="shared" si="76"/>
        <v>24375.468721583191</v>
      </c>
      <c r="U286" s="395">
        <f t="shared" si="71"/>
        <v>24375.468721583191</v>
      </c>
    </row>
    <row r="287" spans="1:21" x14ac:dyDescent="0.25">
      <c r="A287" s="202">
        <f>Données!A287</f>
        <v>5912</v>
      </c>
      <c r="B287" s="203" t="str">
        <f>Données!B287</f>
        <v>Démoret</v>
      </c>
      <c r="C287" s="387">
        <f>Données!C287</f>
        <v>172</v>
      </c>
      <c r="D287" s="379">
        <f t="shared" si="67"/>
        <v>172</v>
      </c>
      <c r="E287" s="379">
        <f t="shared" si="72"/>
        <v>0</v>
      </c>
      <c r="F287" s="388">
        <f t="shared" si="78"/>
        <v>0</v>
      </c>
      <c r="G287" s="378">
        <f t="shared" si="78"/>
        <v>0</v>
      </c>
      <c r="H287" s="379">
        <f t="shared" si="78"/>
        <v>0</v>
      </c>
      <c r="I287" s="388">
        <f t="shared" si="78"/>
        <v>0</v>
      </c>
      <c r="J287" s="389">
        <f t="shared" si="68"/>
        <v>0</v>
      </c>
      <c r="K287" s="378"/>
      <c r="L287" s="379">
        <f t="shared" si="69"/>
        <v>-22861.028684470821</v>
      </c>
      <c r="M287" s="388">
        <f t="shared" si="73"/>
        <v>102148.19650433226</v>
      </c>
      <c r="N287" s="390">
        <f t="shared" si="70"/>
        <v>79287.167819861439</v>
      </c>
      <c r="O287" s="381"/>
      <c r="P287" s="391">
        <f>Données!AC287</f>
        <v>0</v>
      </c>
      <c r="Q287" s="392">
        <f>Données!AD287</f>
        <v>0</v>
      </c>
      <c r="R287" s="393">
        <f t="shared" si="74"/>
        <v>0</v>
      </c>
      <c r="S287" s="394">
        <f t="shared" si="75"/>
        <v>0</v>
      </c>
      <c r="T287" s="393">
        <f t="shared" si="76"/>
        <v>17396.600083453563</v>
      </c>
      <c r="U287" s="395">
        <f t="shared" si="71"/>
        <v>17396.600083453563</v>
      </c>
    </row>
    <row r="288" spans="1:21" x14ac:dyDescent="0.25">
      <c r="A288" s="202">
        <f>Données!A288</f>
        <v>5913</v>
      </c>
      <c r="B288" s="203" t="str">
        <f>Données!B288</f>
        <v>Donneloye</v>
      </c>
      <c r="C288" s="387">
        <f>Données!C288</f>
        <v>917</v>
      </c>
      <c r="D288" s="379">
        <f t="shared" si="67"/>
        <v>917</v>
      </c>
      <c r="E288" s="379">
        <f t="shared" si="72"/>
        <v>0</v>
      </c>
      <c r="F288" s="388">
        <f t="shared" si="78"/>
        <v>0</v>
      </c>
      <c r="G288" s="378">
        <f t="shared" si="78"/>
        <v>0</v>
      </c>
      <c r="H288" s="379">
        <f t="shared" si="78"/>
        <v>0</v>
      </c>
      <c r="I288" s="388">
        <f t="shared" si="78"/>
        <v>0</v>
      </c>
      <c r="J288" s="389">
        <f t="shared" si="68"/>
        <v>0</v>
      </c>
      <c r="K288" s="378"/>
      <c r="L288" s="379">
        <f t="shared" si="69"/>
        <v>-121881.18199802176</v>
      </c>
      <c r="M288" s="388">
        <f t="shared" si="73"/>
        <v>544592.41973530629</v>
      </c>
      <c r="N288" s="390">
        <f t="shared" si="70"/>
        <v>422711.23773728451</v>
      </c>
      <c r="O288" s="381"/>
      <c r="P288" s="391">
        <f>Données!AC288</f>
        <v>0</v>
      </c>
      <c r="Q288" s="392">
        <f>Données!AD288</f>
        <v>0</v>
      </c>
      <c r="R288" s="393">
        <f t="shared" si="74"/>
        <v>0</v>
      </c>
      <c r="S288" s="394">
        <f t="shared" si="75"/>
        <v>0</v>
      </c>
      <c r="T288" s="393">
        <f t="shared" si="76"/>
        <v>92748.15277050533</v>
      </c>
      <c r="U288" s="395">
        <f t="shared" si="71"/>
        <v>92748.15277050533</v>
      </c>
    </row>
    <row r="289" spans="1:21" x14ac:dyDescent="0.25">
      <c r="A289" s="202">
        <f>Données!A289</f>
        <v>5914</v>
      </c>
      <c r="B289" s="203" t="str">
        <f>Données!B289</f>
        <v>Ependes</v>
      </c>
      <c r="C289" s="387">
        <f>Données!C289</f>
        <v>381</v>
      </c>
      <c r="D289" s="379">
        <f t="shared" si="67"/>
        <v>381</v>
      </c>
      <c r="E289" s="379">
        <f t="shared" si="72"/>
        <v>0</v>
      </c>
      <c r="F289" s="388">
        <f t="shared" ref="F289:I298" si="79">IF($C289&lt;F$4,0,IF($C289&gt;F$5,F$5-F$4,$C289-F$4))</f>
        <v>0</v>
      </c>
      <c r="G289" s="378">
        <f t="shared" si="79"/>
        <v>0</v>
      </c>
      <c r="H289" s="379">
        <f t="shared" si="79"/>
        <v>0</v>
      </c>
      <c r="I289" s="388">
        <f t="shared" si="79"/>
        <v>0</v>
      </c>
      <c r="J289" s="389">
        <f t="shared" si="68"/>
        <v>0</v>
      </c>
      <c r="K289" s="378"/>
      <c r="L289" s="379">
        <f t="shared" si="69"/>
        <v>-50639.836795252224</v>
      </c>
      <c r="M289" s="388">
        <f t="shared" si="73"/>
        <v>226270.13295436391</v>
      </c>
      <c r="N289" s="390">
        <f t="shared" si="70"/>
        <v>175630.29615911169</v>
      </c>
      <c r="O289" s="381"/>
      <c r="P289" s="391">
        <f>Données!AC289</f>
        <v>0</v>
      </c>
      <c r="Q289" s="392">
        <f>Données!AD289</f>
        <v>0</v>
      </c>
      <c r="R289" s="393">
        <f t="shared" si="74"/>
        <v>0</v>
      </c>
      <c r="S289" s="394">
        <f t="shared" si="75"/>
        <v>0</v>
      </c>
      <c r="T289" s="393">
        <f t="shared" si="76"/>
        <v>38535.492045324463</v>
      </c>
      <c r="U289" s="395">
        <f t="shared" si="71"/>
        <v>38535.492045324463</v>
      </c>
    </row>
    <row r="290" spans="1:21" x14ac:dyDescent="0.25">
      <c r="A290" s="202">
        <f>Données!A290</f>
        <v>5919</v>
      </c>
      <c r="B290" s="203" t="str">
        <f>Données!B290</f>
        <v>Mathod</v>
      </c>
      <c r="C290" s="387">
        <f>Données!C290</f>
        <v>725</v>
      </c>
      <c r="D290" s="379">
        <f t="shared" si="67"/>
        <v>725</v>
      </c>
      <c r="E290" s="379">
        <f t="shared" si="72"/>
        <v>0</v>
      </c>
      <c r="F290" s="388">
        <f t="shared" si="79"/>
        <v>0</v>
      </c>
      <c r="G290" s="378">
        <f t="shared" si="79"/>
        <v>0</v>
      </c>
      <c r="H290" s="379">
        <f t="shared" si="79"/>
        <v>0</v>
      </c>
      <c r="I290" s="388">
        <f t="shared" si="79"/>
        <v>0</v>
      </c>
      <c r="J290" s="389">
        <f t="shared" si="68"/>
        <v>0</v>
      </c>
      <c r="K290" s="378"/>
      <c r="L290" s="379">
        <f t="shared" si="69"/>
        <v>-96361.894164193858</v>
      </c>
      <c r="M290" s="388">
        <f t="shared" si="73"/>
        <v>430566.52596302843</v>
      </c>
      <c r="N290" s="390">
        <f t="shared" si="70"/>
        <v>334204.63179883454</v>
      </c>
      <c r="O290" s="381"/>
      <c r="P290" s="391">
        <f>Données!AC290</f>
        <v>0</v>
      </c>
      <c r="Q290" s="392">
        <f>Données!AD290</f>
        <v>0</v>
      </c>
      <c r="R290" s="393">
        <f t="shared" si="74"/>
        <v>0</v>
      </c>
      <c r="S290" s="394">
        <f t="shared" si="75"/>
        <v>0</v>
      </c>
      <c r="T290" s="393">
        <f t="shared" si="76"/>
        <v>73328.692212231588</v>
      </c>
      <c r="U290" s="395">
        <f t="shared" si="71"/>
        <v>73328.692212231588</v>
      </c>
    </row>
    <row r="291" spans="1:21" x14ac:dyDescent="0.25">
      <c r="A291" s="202">
        <f>Données!A291</f>
        <v>5921</v>
      </c>
      <c r="B291" s="203" t="str">
        <f>Données!B291</f>
        <v>Molondin</v>
      </c>
      <c r="C291" s="387">
        <f>Données!C291</f>
        <v>269</v>
      </c>
      <c r="D291" s="379">
        <f t="shared" si="67"/>
        <v>269</v>
      </c>
      <c r="E291" s="379">
        <f t="shared" si="72"/>
        <v>0</v>
      </c>
      <c r="F291" s="388">
        <f t="shared" si="79"/>
        <v>0</v>
      </c>
      <c r="G291" s="378">
        <f t="shared" si="79"/>
        <v>0</v>
      </c>
      <c r="H291" s="379">
        <f t="shared" si="79"/>
        <v>0</v>
      </c>
      <c r="I291" s="388">
        <f t="shared" si="79"/>
        <v>0</v>
      </c>
      <c r="J291" s="389">
        <f t="shared" si="68"/>
        <v>0</v>
      </c>
      <c r="K291" s="378"/>
      <c r="L291" s="379">
        <f t="shared" si="69"/>
        <v>-35753.585558852617</v>
      </c>
      <c r="M291" s="388">
        <f t="shared" si="73"/>
        <v>159755.02825386848</v>
      </c>
      <c r="N291" s="390">
        <f t="shared" si="70"/>
        <v>124001.44269501587</v>
      </c>
      <c r="O291" s="381"/>
      <c r="P291" s="391">
        <f>Données!AC291</f>
        <v>0</v>
      </c>
      <c r="Q291" s="392">
        <f>Données!AD291</f>
        <v>0</v>
      </c>
      <c r="R291" s="393">
        <f t="shared" si="74"/>
        <v>0</v>
      </c>
      <c r="S291" s="394">
        <f t="shared" si="75"/>
        <v>0</v>
      </c>
      <c r="T291" s="393">
        <f t="shared" si="76"/>
        <v>27207.473386331443</v>
      </c>
      <c r="U291" s="395">
        <f t="shared" si="71"/>
        <v>27207.473386331443</v>
      </c>
    </row>
    <row r="292" spans="1:21" x14ac:dyDescent="0.25">
      <c r="A292" s="202">
        <f>Données!A292</f>
        <v>5922</v>
      </c>
      <c r="B292" s="203" t="str">
        <f>Données!B292</f>
        <v>Montagny-près-Yverdon</v>
      </c>
      <c r="C292" s="387">
        <f>Données!C292</f>
        <v>783</v>
      </c>
      <c r="D292" s="379">
        <f t="shared" si="67"/>
        <v>783</v>
      </c>
      <c r="E292" s="379">
        <f t="shared" si="72"/>
        <v>0</v>
      </c>
      <c r="F292" s="388">
        <f t="shared" si="79"/>
        <v>0</v>
      </c>
      <c r="G292" s="378">
        <f t="shared" si="79"/>
        <v>0</v>
      </c>
      <c r="H292" s="379">
        <f t="shared" si="79"/>
        <v>0</v>
      </c>
      <c r="I292" s="388">
        <f t="shared" si="79"/>
        <v>0</v>
      </c>
      <c r="J292" s="389">
        <f t="shared" si="68"/>
        <v>0</v>
      </c>
      <c r="K292" s="378"/>
      <c r="L292" s="379">
        <f t="shared" si="69"/>
        <v>-104070.84569732937</v>
      </c>
      <c r="M292" s="388">
        <f t="shared" si="73"/>
        <v>465011.84804007068</v>
      </c>
      <c r="N292" s="390">
        <f t="shared" si="70"/>
        <v>360941.0023427413</v>
      </c>
      <c r="O292" s="381"/>
      <c r="P292" s="391">
        <f>Données!AC292</f>
        <v>255435</v>
      </c>
      <c r="Q292" s="392">
        <f>Données!AD292</f>
        <v>0</v>
      </c>
      <c r="R292" s="393">
        <f t="shared" si="74"/>
        <v>255435</v>
      </c>
      <c r="S292" s="394">
        <f t="shared" si="75"/>
        <v>-153261</v>
      </c>
      <c r="T292" s="393">
        <f t="shared" si="76"/>
        <v>79194.987589210112</v>
      </c>
      <c r="U292" s="395">
        <f t="shared" si="71"/>
        <v>-74066.012410789888</v>
      </c>
    </row>
    <row r="293" spans="1:21" x14ac:dyDescent="0.25">
      <c r="A293" s="202">
        <f>Données!A293</f>
        <v>5923</v>
      </c>
      <c r="B293" s="203" t="str">
        <f>Données!B293</f>
        <v>Oppens</v>
      </c>
      <c r="C293" s="387">
        <f>Données!C293</f>
        <v>202</v>
      </c>
      <c r="D293" s="379">
        <f t="shared" si="67"/>
        <v>202</v>
      </c>
      <c r="E293" s="379">
        <f t="shared" si="72"/>
        <v>0</v>
      </c>
      <c r="F293" s="388">
        <f t="shared" si="79"/>
        <v>0</v>
      </c>
      <c r="G293" s="378">
        <f t="shared" si="79"/>
        <v>0</v>
      </c>
      <c r="H293" s="379">
        <f t="shared" si="79"/>
        <v>0</v>
      </c>
      <c r="I293" s="388">
        <f t="shared" si="79"/>
        <v>0</v>
      </c>
      <c r="J293" s="389">
        <f t="shared" si="68"/>
        <v>0</v>
      </c>
      <c r="K293" s="378"/>
      <c r="L293" s="379">
        <f t="shared" si="69"/>
        <v>-26848.417408506426</v>
      </c>
      <c r="M293" s="388">
        <f t="shared" si="73"/>
        <v>119964.74240625068</v>
      </c>
      <c r="N293" s="390">
        <f t="shared" si="70"/>
        <v>93116.324997744247</v>
      </c>
      <c r="O293" s="381"/>
      <c r="P293" s="391">
        <f>Données!AC293</f>
        <v>0</v>
      </c>
      <c r="Q293" s="392">
        <f>Données!AD293</f>
        <v>0</v>
      </c>
      <c r="R293" s="393">
        <f t="shared" si="74"/>
        <v>0</v>
      </c>
      <c r="S293" s="394">
        <f t="shared" si="75"/>
        <v>0</v>
      </c>
      <c r="T293" s="393">
        <f t="shared" si="76"/>
        <v>20430.890795683837</v>
      </c>
      <c r="U293" s="395">
        <f t="shared" si="71"/>
        <v>20430.890795683837</v>
      </c>
    </row>
    <row r="294" spans="1:21" x14ac:dyDescent="0.25">
      <c r="A294" s="202">
        <f>Données!A294</f>
        <v>5924</v>
      </c>
      <c r="B294" s="203" t="str">
        <f>Données!B294</f>
        <v>Orges</v>
      </c>
      <c r="C294" s="387">
        <f>Données!C294</f>
        <v>424</v>
      </c>
      <c r="D294" s="379">
        <f t="shared" si="67"/>
        <v>424</v>
      </c>
      <c r="E294" s="379">
        <f t="shared" si="72"/>
        <v>0</v>
      </c>
      <c r="F294" s="388">
        <f t="shared" si="79"/>
        <v>0</v>
      </c>
      <c r="G294" s="378">
        <f t="shared" si="79"/>
        <v>0</v>
      </c>
      <c r="H294" s="379">
        <f t="shared" si="79"/>
        <v>0</v>
      </c>
      <c r="I294" s="388">
        <f t="shared" si="79"/>
        <v>0</v>
      </c>
      <c r="J294" s="389">
        <f t="shared" si="68"/>
        <v>0</v>
      </c>
      <c r="K294" s="378"/>
      <c r="L294" s="379">
        <f t="shared" si="69"/>
        <v>-56355.093966369925</v>
      </c>
      <c r="M294" s="388">
        <f t="shared" si="73"/>
        <v>251807.18208044698</v>
      </c>
      <c r="N294" s="390">
        <f t="shared" si="70"/>
        <v>195452.08811407705</v>
      </c>
      <c r="O294" s="381"/>
      <c r="P294" s="391">
        <f>Données!AC294</f>
        <v>0</v>
      </c>
      <c r="Q294" s="392">
        <f>Données!AD294</f>
        <v>0</v>
      </c>
      <c r="R294" s="393">
        <f t="shared" si="74"/>
        <v>0</v>
      </c>
      <c r="S294" s="394">
        <f t="shared" si="75"/>
        <v>0</v>
      </c>
      <c r="T294" s="393">
        <f t="shared" si="76"/>
        <v>42884.642066187851</v>
      </c>
      <c r="U294" s="395">
        <f t="shared" si="71"/>
        <v>42884.642066187851</v>
      </c>
    </row>
    <row r="295" spans="1:21" x14ac:dyDescent="0.25">
      <c r="A295" s="202">
        <f>Données!A295</f>
        <v>5925</v>
      </c>
      <c r="B295" s="203" t="str">
        <f>Données!B295</f>
        <v>Orzens</v>
      </c>
      <c r="C295" s="387">
        <f>Données!C295</f>
        <v>216</v>
      </c>
      <c r="D295" s="379">
        <f t="shared" si="67"/>
        <v>216</v>
      </c>
      <c r="E295" s="379">
        <f t="shared" si="72"/>
        <v>0</v>
      </c>
      <c r="F295" s="388">
        <f t="shared" si="79"/>
        <v>0</v>
      </c>
      <c r="G295" s="378">
        <f t="shared" si="79"/>
        <v>0</v>
      </c>
      <c r="H295" s="379">
        <f t="shared" si="79"/>
        <v>0</v>
      </c>
      <c r="I295" s="388">
        <f t="shared" si="79"/>
        <v>0</v>
      </c>
      <c r="J295" s="389">
        <f t="shared" si="68"/>
        <v>0</v>
      </c>
      <c r="K295" s="378"/>
      <c r="L295" s="379">
        <f t="shared" si="69"/>
        <v>-28709.198813056377</v>
      </c>
      <c r="M295" s="388">
        <f t="shared" si="73"/>
        <v>128279.13049381261</v>
      </c>
      <c r="N295" s="390">
        <f t="shared" si="70"/>
        <v>99569.931680756243</v>
      </c>
      <c r="O295" s="381"/>
      <c r="P295" s="391">
        <f>Données!AC295</f>
        <v>0</v>
      </c>
      <c r="Q295" s="392">
        <f>Données!AD295</f>
        <v>0</v>
      </c>
      <c r="R295" s="393">
        <f t="shared" si="74"/>
        <v>0</v>
      </c>
      <c r="S295" s="394">
        <f t="shared" si="75"/>
        <v>0</v>
      </c>
      <c r="T295" s="393">
        <f t="shared" si="76"/>
        <v>21846.893128057964</v>
      </c>
      <c r="U295" s="395">
        <f t="shared" si="71"/>
        <v>21846.893128057964</v>
      </c>
    </row>
    <row r="296" spans="1:21" x14ac:dyDescent="0.25">
      <c r="A296" s="202">
        <f>Données!A296</f>
        <v>5926</v>
      </c>
      <c r="B296" s="203" t="str">
        <f>Données!B296</f>
        <v>Pomy</v>
      </c>
      <c r="C296" s="387">
        <f>Données!C296</f>
        <v>877</v>
      </c>
      <c r="D296" s="379">
        <f t="shared" si="67"/>
        <v>877</v>
      </c>
      <c r="E296" s="379">
        <f t="shared" si="72"/>
        <v>0</v>
      </c>
      <c r="F296" s="388">
        <f t="shared" si="79"/>
        <v>0</v>
      </c>
      <c r="G296" s="378">
        <f t="shared" si="79"/>
        <v>0</v>
      </c>
      <c r="H296" s="379">
        <f t="shared" si="79"/>
        <v>0</v>
      </c>
      <c r="I296" s="388">
        <f t="shared" si="79"/>
        <v>0</v>
      </c>
      <c r="J296" s="389">
        <f t="shared" si="68"/>
        <v>0</v>
      </c>
      <c r="K296" s="378"/>
      <c r="L296" s="379">
        <f t="shared" si="69"/>
        <v>-116564.66369930761</v>
      </c>
      <c r="M296" s="388">
        <f t="shared" si="73"/>
        <v>520837.02519941505</v>
      </c>
      <c r="N296" s="390">
        <f t="shared" si="70"/>
        <v>404272.36150010745</v>
      </c>
      <c r="O296" s="381"/>
      <c r="P296" s="391">
        <f>Données!AC296</f>
        <v>0</v>
      </c>
      <c r="Q296" s="392">
        <f>Données!AD296</f>
        <v>0</v>
      </c>
      <c r="R296" s="393">
        <f t="shared" si="74"/>
        <v>0</v>
      </c>
      <c r="S296" s="394">
        <f t="shared" si="75"/>
        <v>0</v>
      </c>
      <c r="T296" s="393">
        <f t="shared" si="76"/>
        <v>88702.431820864964</v>
      </c>
      <c r="U296" s="395">
        <f t="shared" si="71"/>
        <v>88702.431820864964</v>
      </c>
    </row>
    <row r="297" spans="1:21" x14ac:dyDescent="0.25">
      <c r="A297" s="202">
        <f>Données!A297</f>
        <v>5928</v>
      </c>
      <c r="B297" s="203" t="str">
        <f>Données!B297</f>
        <v>Rovray</v>
      </c>
      <c r="C297" s="387">
        <f>Données!C297</f>
        <v>195</v>
      </c>
      <c r="D297" s="379">
        <f t="shared" si="67"/>
        <v>195</v>
      </c>
      <c r="E297" s="379">
        <f t="shared" si="72"/>
        <v>0</v>
      </c>
      <c r="F297" s="388">
        <f t="shared" si="79"/>
        <v>0</v>
      </c>
      <c r="G297" s="378">
        <f t="shared" si="79"/>
        <v>0</v>
      </c>
      <c r="H297" s="379">
        <f t="shared" si="79"/>
        <v>0</v>
      </c>
      <c r="I297" s="388">
        <f t="shared" si="79"/>
        <v>0</v>
      </c>
      <c r="J297" s="389">
        <f t="shared" si="68"/>
        <v>0</v>
      </c>
      <c r="K297" s="378"/>
      <c r="L297" s="379">
        <f t="shared" si="69"/>
        <v>-25918.026706231452</v>
      </c>
      <c r="M297" s="388">
        <f t="shared" si="73"/>
        <v>115807.54836246971</v>
      </c>
      <c r="N297" s="390">
        <f t="shared" si="70"/>
        <v>89889.521656238256</v>
      </c>
      <c r="O297" s="381"/>
      <c r="P297" s="391">
        <f>Données!AC297</f>
        <v>0</v>
      </c>
      <c r="Q297" s="392">
        <f>Données!AD297</f>
        <v>0</v>
      </c>
      <c r="R297" s="393">
        <f t="shared" si="74"/>
        <v>0</v>
      </c>
      <c r="S297" s="394">
        <f t="shared" si="75"/>
        <v>0</v>
      </c>
      <c r="T297" s="393">
        <f t="shared" si="76"/>
        <v>19722.889629496771</v>
      </c>
      <c r="U297" s="395">
        <f t="shared" si="71"/>
        <v>19722.889629496771</v>
      </c>
    </row>
    <row r="298" spans="1:21" x14ac:dyDescent="0.25">
      <c r="A298" s="202">
        <f>Données!A298</f>
        <v>5929</v>
      </c>
      <c r="B298" s="203" t="str">
        <f>Données!B298</f>
        <v>Suchy</v>
      </c>
      <c r="C298" s="387">
        <f>Données!C298</f>
        <v>670</v>
      </c>
      <c r="D298" s="379">
        <f t="shared" si="67"/>
        <v>670</v>
      </c>
      <c r="E298" s="379">
        <f t="shared" si="72"/>
        <v>0</v>
      </c>
      <c r="F298" s="388">
        <f t="shared" si="79"/>
        <v>0</v>
      </c>
      <c r="G298" s="378">
        <f t="shared" si="79"/>
        <v>0</v>
      </c>
      <c r="H298" s="379">
        <f t="shared" si="79"/>
        <v>0</v>
      </c>
      <c r="I298" s="388">
        <f t="shared" si="79"/>
        <v>0</v>
      </c>
      <c r="J298" s="389">
        <f t="shared" si="68"/>
        <v>0</v>
      </c>
      <c r="K298" s="378"/>
      <c r="L298" s="379">
        <f t="shared" si="69"/>
        <v>-89051.681503461907</v>
      </c>
      <c r="M298" s="388">
        <f t="shared" si="73"/>
        <v>397902.85847617796</v>
      </c>
      <c r="N298" s="390">
        <f t="shared" si="70"/>
        <v>308851.17697271606</v>
      </c>
      <c r="O298" s="381"/>
      <c r="P298" s="391">
        <f>Données!AC298</f>
        <v>0</v>
      </c>
      <c r="Q298" s="392">
        <f>Données!AD298</f>
        <v>0</v>
      </c>
      <c r="R298" s="393">
        <f t="shared" si="74"/>
        <v>0</v>
      </c>
      <c r="S298" s="394">
        <f t="shared" si="75"/>
        <v>0</v>
      </c>
      <c r="T298" s="393">
        <f t="shared" si="76"/>
        <v>67765.825906476093</v>
      </c>
      <c r="U298" s="395">
        <f t="shared" si="71"/>
        <v>67765.825906476093</v>
      </c>
    </row>
    <row r="299" spans="1:21" x14ac:dyDescent="0.25">
      <c r="A299" s="202">
        <f>Données!A299</f>
        <v>5930</v>
      </c>
      <c r="B299" s="203" t="str">
        <f>Données!B299</f>
        <v>Suscévaz</v>
      </c>
      <c r="C299" s="387">
        <f>Données!C299</f>
        <v>237</v>
      </c>
      <c r="D299" s="379">
        <f t="shared" si="67"/>
        <v>237</v>
      </c>
      <c r="E299" s="379">
        <f t="shared" si="72"/>
        <v>0</v>
      </c>
      <c r="F299" s="388">
        <f t="shared" ref="F299:I307" si="80">IF($C299&lt;F$4,0,IF($C299&gt;F$5,F$5-F$4,$C299-F$4))</f>
        <v>0</v>
      </c>
      <c r="G299" s="378">
        <f t="shared" si="80"/>
        <v>0</v>
      </c>
      <c r="H299" s="379">
        <f t="shared" si="80"/>
        <v>0</v>
      </c>
      <c r="I299" s="388">
        <f t="shared" si="80"/>
        <v>0</v>
      </c>
      <c r="J299" s="389">
        <f t="shared" si="68"/>
        <v>0</v>
      </c>
      <c r="K299" s="378"/>
      <c r="L299" s="379">
        <f t="shared" si="69"/>
        <v>-31500.370919881305</v>
      </c>
      <c r="M299" s="388">
        <f t="shared" si="73"/>
        <v>140750.71262515549</v>
      </c>
      <c r="N299" s="390">
        <f t="shared" si="70"/>
        <v>109250.34170527419</v>
      </c>
      <c r="O299" s="381"/>
      <c r="P299" s="391">
        <f>Données!AC299</f>
        <v>0</v>
      </c>
      <c r="Q299" s="392">
        <f>Données!AD299</f>
        <v>0</v>
      </c>
      <c r="R299" s="393">
        <f t="shared" si="74"/>
        <v>0</v>
      </c>
      <c r="S299" s="394">
        <f t="shared" si="75"/>
        <v>0</v>
      </c>
      <c r="T299" s="393">
        <f t="shared" si="76"/>
        <v>23970.896626619153</v>
      </c>
      <c r="U299" s="395">
        <f t="shared" si="71"/>
        <v>23970.896626619153</v>
      </c>
    </row>
    <row r="300" spans="1:21" x14ac:dyDescent="0.25">
      <c r="A300" s="202">
        <f>Données!A300</f>
        <v>5931</v>
      </c>
      <c r="B300" s="203" t="str">
        <f>Données!B300</f>
        <v>Treycovagnes</v>
      </c>
      <c r="C300" s="387">
        <f>Données!C300</f>
        <v>513</v>
      </c>
      <c r="D300" s="379">
        <f t="shared" si="67"/>
        <v>513</v>
      </c>
      <c r="E300" s="379">
        <f t="shared" si="72"/>
        <v>0</v>
      </c>
      <c r="F300" s="388">
        <f t="shared" si="80"/>
        <v>0</v>
      </c>
      <c r="G300" s="378">
        <f t="shared" si="80"/>
        <v>0</v>
      </c>
      <c r="H300" s="379">
        <f t="shared" si="80"/>
        <v>0</v>
      </c>
      <c r="I300" s="388">
        <f t="shared" si="80"/>
        <v>0</v>
      </c>
      <c r="J300" s="389">
        <f t="shared" si="68"/>
        <v>0</v>
      </c>
      <c r="K300" s="378"/>
      <c r="L300" s="379">
        <f t="shared" si="69"/>
        <v>-68184.347181008896</v>
      </c>
      <c r="M300" s="388">
        <f t="shared" si="73"/>
        <v>304662.93492280494</v>
      </c>
      <c r="N300" s="390">
        <f t="shared" si="70"/>
        <v>236478.58774179604</v>
      </c>
      <c r="O300" s="381"/>
      <c r="P300" s="391">
        <f>Données!AC300</f>
        <v>0</v>
      </c>
      <c r="Q300" s="392">
        <f>Données!AD300</f>
        <v>0</v>
      </c>
      <c r="R300" s="393">
        <f t="shared" si="74"/>
        <v>0</v>
      </c>
      <c r="S300" s="394">
        <f t="shared" si="75"/>
        <v>0</v>
      </c>
      <c r="T300" s="393">
        <f t="shared" si="76"/>
        <v>51886.371179137663</v>
      </c>
      <c r="U300" s="395">
        <f t="shared" si="71"/>
        <v>51886.371179137663</v>
      </c>
    </row>
    <row r="301" spans="1:21" x14ac:dyDescent="0.25">
      <c r="A301" s="202">
        <f>Données!A301</f>
        <v>5932</v>
      </c>
      <c r="B301" s="203" t="str">
        <f>Données!B301</f>
        <v>Ursins</v>
      </c>
      <c r="C301" s="387">
        <f>Données!C301</f>
        <v>233</v>
      </c>
      <c r="D301" s="379">
        <f t="shared" si="67"/>
        <v>233</v>
      </c>
      <c r="E301" s="379">
        <f t="shared" si="72"/>
        <v>0</v>
      </c>
      <c r="F301" s="388">
        <f t="shared" si="80"/>
        <v>0</v>
      </c>
      <c r="G301" s="378">
        <f t="shared" si="80"/>
        <v>0</v>
      </c>
      <c r="H301" s="379">
        <f t="shared" si="80"/>
        <v>0</v>
      </c>
      <c r="I301" s="388">
        <f t="shared" si="80"/>
        <v>0</v>
      </c>
      <c r="J301" s="389">
        <f t="shared" si="68"/>
        <v>0</v>
      </c>
      <c r="K301" s="378"/>
      <c r="L301" s="379">
        <f t="shared" si="69"/>
        <v>-30968.71909000989</v>
      </c>
      <c r="M301" s="388">
        <f t="shared" si="73"/>
        <v>138375.17317156636</v>
      </c>
      <c r="N301" s="390">
        <f t="shared" si="70"/>
        <v>107406.45408155647</v>
      </c>
      <c r="O301" s="381"/>
      <c r="P301" s="391">
        <f>Données!AC301</f>
        <v>0</v>
      </c>
      <c r="Q301" s="392">
        <f>Données!AD301</f>
        <v>0</v>
      </c>
      <c r="R301" s="393">
        <f t="shared" si="74"/>
        <v>0</v>
      </c>
      <c r="S301" s="394">
        <f t="shared" si="75"/>
        <v>0</v>
      </c>
      <c r="T301" s="393">
        <f t="shared" si="76"/>
        <v>23566.324531655118</v>
      </c>
      <c r="U301" s="395">
        <f t="shared" si="71"/>
        <v>23566.324531655118</v>
      </c>
    </row>
    <row r="302" spans="1:21" x14ac:dyDescent="0.25">
      <c r="A302" s="202">
        <f>Données!A302</f>
        <v>5933</v>
      </c>
      <c r="B302" s="203" t="str">
        <f>Données!B302</f>
        <v>Valeyres-sous-Montagny</v>
      </c>
      <c r="C302" s="387">
        <f>Données!C302</f>
        <v>706</v>
      </c>
      <c r="D302" s="379">
        <f t="shared" si="67"/>
        <v>706</v>
      </c>
      <c r="E302" s="379">
        <f t="shared" si="72"/>
        <v>0</v>
      </c>
      <c r="F302" s="388">
        <f t="shared" si="80"/>
        <v>0</v>
      </c>
      <c r="G302" s="378">
        <f t="shared" si="80"/>
        <v>0</v>
      </c>
      <c r="H302" s="379">
        <f t="shared" si="80"/>
        <v>0</v>
      </c>
      <c r="I302" s="388">
        <f t="shared" si="80"/>
        <v>0</v>
      </c>
      <c r="J302" s="389">
        <f t="shared" si="68"/>
        <v>0</v>
      </c>
      <c r="K302" s="378"/>
      <c r="L302" s="379">
        <f t="shared" si="69"/>
        <v>-93836.547972304645</v>
      </c>
      <c r="M302" s="388">
        <f t="shared" si="73"/>
        <v>419282.71355848009</v>
      </c>
      <c r="N302" s="390">
        <f t="shared" si="70"/>
        <v>325446.16558617546</v>
      </c>
      <c r="O302" s="381"/>
      <c r="P302" s="391">
        <f>Données!AC302</f>
        <v>0</v>
      </c>
      <c r="Q302" s="392">
        <f>Données!AD302</f>
        <v>0</v>
      </c>
      <c r="R302" s="393">
        <f t="shared" si="74"/>
        <v>0</v>
      </c>
      <c r="S302" s="394">
        <f t="shared" si="75"/>
        <v>0</v>
      </c>
      <c r="T302" s="393">
        <f t="shared" si="76"/>
        <v>71406.974761152422</v>
      </c>
      <c r="U302" s="395">
        <f t="shared" si="71"/>
        <v>71406.974761152422</v>
      </c>
    </row>
    <row r="303" spans="1:21" x14ac:dyDescent="0.25">
      <c r="A303" s="202">
        <f>Données!A303</f>
        <v>5934</v>
      </c>
      <c r="B303" s="203" t="str">
        <f>Données!B303</f>
        <v>Valeyres-sous-Ursins</v>
      </c>
      <c r="C303" s="387">
        <f>Données!C303</f>
        <v>236</v>
      </c>
      <c r="D303" s="379">
        <f t="shared" si="67"/>
        <v>236</v>
      </c>
      <c r="E303" s="379">
        <f t="shared" si="72"/>
        <v>0</v>
      </c>
      <c r="F303" s="388">
        <f t="shared" si="80"/>
        <v>0</v>
      </c>
      <c r="G303" s="378">
        <f t="shared" si="80"/>
        <v>0</v>
      </c>
      <c r="H303" s="379">
        <f t="shared" si="80"/>
        <v>0</v>
      </c>
      <c r="I303" s="388">
        <f t="shared" si="80"/>
        <v>0</v>
      </c>
      <c r="J303" s="389">
        <f t="shared" si="68"/>
        <v>0</v>
      </c>
      <c r="K303" s="378"/>
      <c r="L303" s="379">
        <f t="shared" si="69"/>
        <v>-31367.457962413449</v>
      </c>
      <c r="M303" s="388">
        <f t="shared" si="73"/>
        <v>140156.82776175821</v>
      </c>
      <c r="N303" s="390">
        <f t="shared" si="70"/>
        <v>108789.36979934476</v>
      </c>
      <c r="O303" s="381"/>
      <c r="P303" s="391">
        <f>Données!AC303</f>
        <v>0</v>
      </c>
      <c r="Q303" s="392">
        <f>Données!AD303</f>
        <v>0</v>
      </c>
      <c r="R303" s="393">
        <f t="shared" si="74"/>
        <v>0</v>
      </c>
      <c r="S303" s="394">
        <f t="shared" si="75"/>
        <v>0</v>
      </c>
      <c r="T303" s="393">
        <f t="shared" si="76"/>
        <v>23869.753602878143</v>
      </c>
      <c r="U303" s="395">
        <f t="shared" si="71"/>
        <v>23869.753602878143</v>
      </c>
    </row>
    <row r="304" spans="1:21" x14ac:dyDescent="0.25">
      <c r="A304" s="202">
        <f>Données!A304</f>
        <v>5935</v>
      </c>
      <c r="B304" s="203" t="str">
        <f>Données!B304</f>
        <v>Villars-Epeney</v>
      </c>
      <c r="C304" s="387">
        <f>Données!C304</f>
        <v>108</v>
      </c>
      <c r="D304" s="379">
        <f t="shared" si="67"/>
        <v>108</v>
      </c>
      <c r="E304" s="379">
        <f t="shared" si="72"/>
        <v>0</v>
      </c>
      <c r="F304" s="388">
        <f t="shared" si="80"/>
        <v>0</v>
      </c>
      <c r="G304" s="378">
        <f t="shared" si="80"/>
        <v>0</v>
      </c>
      <c r="H304" s="379">
        <f t="shared" si="80"/>
        <v>0</v>
      </c>
      <c r="I304" s="388">
        <f t="shared" si="80"/>
        <v>0</v>
      </c>
      <c r="J304" s="389">
        <f t="shared" si="68"/>
        <v>0</v>
      </c>
      <c r="K304" s="378"/>
      <c r="L304" s="379">
        <f t="shared" si="69"/>
        <v>-14354.599406528188</v>
      </c>
      <c r="M304" s="388">
        <f t="shared" si="73"/>
        <v>64139.565246906306</v>
      </c>
      <c r="N304" s="390">
        <f t="shared" si="70"/>
        <v>49784.965840378121</v>
      </c>
      <c r="O304" s="381"/>
      <c r="P304" s="391">
        <f>Données!AC304</f>
        <v>0</v>
      </c>
      <c r="Q304" s="392">
        <f>Données!AD304</f>
        <v>0</v>
      </c>
      <c r="R304" s="393">
        <f t="shared" si="74"/>
        <v>0</v>
      </c>
      <c r="S304" s="394">
        <f t="shared" si="75"/>
        <v>0</v>
      </c>
      <c r="T304" s="393">
        <f t="shared" si="76"/>
        <v>10923.446564028982</v>
      </c>
      <c r="U304" s="395">
        <f t="shared" si="71"/>
        <v>10923.446564028982</v>
      </c>
    </row>
    <row r="305" spans="1:21" x14ac:dyDescent="0.25">
      <c r="A305" s="202">
        <f>Données!A305</f>
        <v>5937</v>
      </c>
      <c r="B305" s="203" t="str">
        <f>Données!B305</f>
        <v>Vugelles-La Mothe</v>
      </c>
      <c r="C305" s="387">
        <f>Données!C305</f>
        <v>147</v>
      </c>
      <c r="D305" s="379">
        <f t="shared" si="67"/>
        <v>147</v>
      </c>
      <c r="E305" s="379">
        <f t="shared" si="72"/>
        <v>0</v>
      </c>
      <c r="F305" s="388">
        <f t="shared" si="80"/>
        <v>0</v>
      </c>
      <c r="G305" s="378">
        <f t="shared" si="80"/>
        <v>0</v>
      </c>
      <c r="H305" s="379">
        <f t="shared" si="80"/>
        <v>0</v>
      </c>
      <c r="I305" s="388">
        <f t="shared" si="80"/>
        <v>0</v>
      </c>
      <c r="J305" s="389">
        <f t="shared" si="68"/>
        <v>0</v>
      </c>
      <c r="K305" s="378"/>
      <c r="L305" s="379">
        <f t="shared" si="69"/>
        <v>-19538.204747774478</v>
      </c>
      <c r="M305" s="388">
        <f t="shared" si="73"/>
        <v>87301.074919400242</v>
      </c>
      <c r="N305" s="390">
        <f t="shared" si="70"/>
        <v>67762.870171625764</v>
      </c>
      <c r="O305" s="381"/>
      <c r="P305" s="391">
        <f>Données!AC305</f>
        <v>0</v>
      </c>
      <c r="Q305" s="392">
        <f>Données!AD305</f>
        <v>0</v>
      </c>
      <c r="R305" s="393">
        <f t="shared" si="74"/>
        <v>0</v>
      </c>
      <c r="S305" s="394">
        <f t="shared" si="75"/>
        <v>0</v>
      </c>
      <c r="T305" s="393">
        <f t="shared" si="76"/>
        <v>14868.024489928335</v>
      </c>
      <c r="U305" s="395">
        <f t="shared" si="71"/>
        <v>14868.024489928335</v>
      </c>
    </row>
    <row r="306" spans="1:21" x14ac:dyDescent="0.25">
      <c r="A306" s="202">
        <f>Données!A306</f>
        <v>5938</v>
      </c>
      <c r="B306" s="203" t="str">
        <f>Données!B306</f>
        <v>Yverdon-les-Bains</v>
      </c>
      <c r="C306" s="387">
        <f>Données!C306</f>
        <v>30332</v>
      </c>
      <c r="D306" s="379">
        <f t="shared" si="67"/>
        <v>1000</v>
      </c>
      <c r="E306" s="379">
        <f t="shared" si="72"/>
        <v>2000</v>
      </c>
      <c r="F306" s="388">
        <f t="shared" si="80"/>
        <v>9000</v>
      </c>
      <c r="G306" s="378">
        <f t="shared" si="80"/>
        <v>3000</v>
      </c>
      <c r="H306" s="379">
        <f t="shared" si="80"/>
        <v>15000</v>
      </c>
      <c r="I306" s="388">
        <f t="shared" si="80"/>
        <v>332</v>
      </c>
      <c r="J306" s="389">
        <f t="shared" si="68"/>
        <v>0</v>
      </c>
      <c r="K306" s="378"/>
      <c r="L306" s="379">
        <f t="shared" si="69"/>
        <v>-27183570.722057372</v>
      </c>
      <c r="M306" s="388">
        <f t="shared" si="73"/>
        <v>18013715.676566314</v>
      </c>
      <c r="N306" s="390">
        <f>SUM(L306:M306)</f>
        <v>-9169855.0454910584</v>
      </c>
      <c r="O306" s="381"/>
      <c r="P306" s="391">
        <f>Données!AC306</f>
        <v>5323386</v>
      </c>
      <c r="Q306" s="392">
        <f>Données!AD306</f>
        <v>0</v>
      </c>
      <c r="R306" s="393">
        <f t="shared" si="74"/>
        <v>5323386</v>
      </c>
      <c r="S306" s="394">
        <f t="shared" si="75"/>
        <v>-3194031.6</v>
      </c>
      <c r="T306" s="393">
        <f t="shared" si="76"/>
        <v>3067870.1961122877</v>
      </c>
      <c r="U306" s="395">
        <f t="shared" si="71"/>
        <v>-126161.4038877124</v>
      </c>
    </row>
    <row r="307" spans="1:21" x14ac:dyDescent="0.25">
      <c r="A307" s="204">
        <f>Données!A307</f>
        <v>5939</v>
      </c>
      <c r="B307" s="205" t="str">
        <f>Données!B307</f>
        <v>Yvonand</v>
      </c>
      <c r="C307" s="396">
        <f>Données!C307</f>
        <v>3525</v>
      </c>
      <c r="D307" s="397">
        <f t="shared" si="67"/>
        <v>1000</v>
      </c>
      <c r="E307" s="397">
        <f t="shared" si="72"/>
        <v>2000</v>
      </c>
      <c r="F307" s="398">
        <f t="shared" si="80"/>
        <v>525</v>
      </c>
      <c r="G307" s="399">
        <f t="shared" si="80"/>
        <v>0</v>
      </c>
      <c r="H307" s="397">
        <f t="shared" si="80"/>
        <v>0</v>
      </c>
      <c r="I307" s="398">
        <f t="shared" si="80"/>
        <v>0</v>
      </c>
      <c r="J307" s="400">
        <f t="shared" si="68"/>
        <v>0</v>
      </c>
      <c r="K307" s="378"/>
      <c r="L307" s="379">
        <f t="shared" si="69"/>
        <v>-1226122.0326409496</v>
      </c>
      <c r="M307" s="398">
        <f t="shared" si="73"/>
        <v>2093444.143475414</v>
      </c>
      <c r="N307" s="401">
        <f t="shared" si="70"/>
        <v>867322.11083446443</v>
      </c>
      <c r="O307" s="381"/>
      <c r="P307" s="402">
        <f>Données!AC307</f>
        <v>0</v>
      </c>
      <c r="Q307" s="403">
        <f>Données!AD307</f>
        <v>0</v>
      </c>
      <c r="R307" s="404">
        <f t="shared" si="74"/>
        <v>0</v>
      </c>
      <c r="S307" s="405">
        <f t="shared" si="75"/>
        <v>0</v>
      </c>
      <c r="T307" s="404">
        <f t="shared" si="76"/>
        <v>356529.15868705703</v>
      </c>
      <c r="U307" s="406">
        <f t="shared" si="71"/>
        <v>356529.15868705703</v>
      </c>
    </row>
    <row r="308" spans="1:21" x14ac:dyDescent="0.25">
      <c r="A308" s="75"/>
      <c r="C308" s="397">
        <f t="shared" ref="C308:N308" si="81">SUM(C8:C307)</f>
        <v>855749</v>
      </c>
      <c r="D308" s="397">
        <f t="shared" si="81"/>
        <v>217117</v>
      </c>
      <c r="E308" s="397">
        <f t="shared" si="81"/>
        <v>176691</v>
      </c>
      <c r="F308" s="397">
        <f t="shared" si="81"/>
        <v>247906</v>
      </c>
      <c r="G308" s="397">
        <f t="shared" si="81"/>
        <v>29400</v>
      </c>
      <c r="H308" s="397">
        <f t="shared" si="81"/>
        <v>69266</v>
      </c>
      <c r="I308" s="397">
        <f t="shared" si="81"/>
        <v>15332</v>
      </c>
      <c r="J308" s="398">
        <f t="shared" si="81"/>
        <v>100037</v>
      </c>
      <c r="K308" s="378"/>
      <c r="L308" s="407">
        <f t="shared" si="81"/>
        <v>-508216377.96735942</v>
      </c>
      <c r="M308" s="398">
        <f t="shared" si="81"/>
        <v>508216377.9673596</v>
      </c>
      <c r="N308" s="406">
        <f t="shared" si="81"/>
        <v>4.1723251342773438E-7</v>
      </c>
      <c r="O308" s="408"/>
      <c r="P308" s="405">
        <f>SUM(P8:P307)</f>
        <v>168424489.40000001</v>
      </c>
      <c r="Q308" s="405">
        <f t="shared" ref="Q308:R308" si="82">SUM(Q8:Q307)</f>
        <v>-24169420.361092065</v>
      </c>
      <c r="R308" s="405">
        <f t="shared" si="82"/>
        <v>144255069.03890795</v>
      </c>
      <c r="S308" s="405">
        <f>SUM(S8:S307)</f>
        <v>-86553041.423344791</v>
      </c>
      <c r="T308" s="405">
        <f>SUM(T8:T307)</f>
        <v>86553041.423344851</v>
      </c>
      <c r="U308" s="409">
        <f t="shared" si="71"/>
        <v>0</v>
      </c>
    </row>
  </sheetData>
  <sheetProtection sheet="1" objects="1" scenarios="1"/>
  <sortState xmlns:xlrd2="http://schemas.microsoft.com/office/spreadsheetml/2017/richdata2" ref="P8:P307">
    <sortCondition ref="P8:P307"/>
  </sortState>
  <mergeCells count="8">
    <mergeCell ref="D7:J7"/>
    <mergeCell ref="C3:J3"/>
    <mergeCell ref="L3:N4"/>
    <mergeCell ref="P3:U4"/>
    <mergeCell ref="L5:M5"/>
    <mergeCell ref="P5:Q5"/>
    <mergeCell ref="P6:Q6"/>
    <mergeCell ref="R5:T5"/>
  </mergeCells>
  <conditionalFormatting sqref="N6">
    <cfRule type="cellIs" dxfId="39" priority="5" operator="equal">
      <formula>"ERREUR"</formula>
    </cfRule>
    <cfRule type="cellIs" dxfId="38" priority="6" operator="equal">
      <formula>"OK"</formula>
    </cfRule>
  </conditionalFormatting>
  <conditionalFormatting sqref="U6">
    <cfRule type="cellIs" dxfId="37" priority="3" operator="equal">
      <formula>"ERREUR"</formula>
    </cfRule>
    <cfRule type="cellIs" dxfId="36" priority="4" operator="equal">
      <formula>"OK"</formula>
    </cfRule>
  </conditionalFormatting>
  <hyperlinks>
    <hyperlink ref="H1" location="'Table des matières'!A1" display="Table des matières" xr:uid="{68B5EB3E-C032-4ABE-9994-8076DBD715A8}"/>
    <hyperlink ref="I1" location="PCS!A1" display="Suivant →" xr:uid="{CD279857-CF2A-4EF3-ABB8-C973D0F1B0A9}"/>
    <hyperlink ref="G1" location="'Besoins structurels'!A1" display="← Précédent" xr:uid="{4D11845C-D6AC-4956-AB1F-CCEBFA188C93}"/>
  </hyperlink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AC78-F23B-409E-A18A-1E462CBD6E81}">
  <sheetPr codeName="Feuil5">
    <tabColor rgb="FFFFE6FF"/>
    <pageSetUpPr autoPageBreaks="0"/>
  </sheetPr>
  <dimension ref="A1:H308"/>
  <sheetViews>
    <sheetView zoomScale="90" zoomScaleNormal="90" workbookViewId="0">
      <pane ySplit="7" topLeftCell="A8" activePane="bottomLeft" state="frozen"/>
      <selection pane="bottomLeft"/>
    </sheetView>
  </sheetViews>
  <sheetFormatPr baseColWidth="10" defaultRowHeight="15" x14ac:dyDescent="0.25"/>
  <cols>
    <col min="1" max="1" width="7.140625" style="1" customWidth="1"/>
    <col min="2" max="2" width="26.140625" style="1" customWidth="1"/>
    <col min="3" max="3" width="13.85546875" style="1" customWidth="1"/>
    <col min="4" max="4" width="17.140625" style="1" customWidth="1"/>
    <col min="5" max="6" width="14.28515625" style="1" customWidth="1"/>
    <col min="7" max="16384" width="11.42578125" style="1"/>
  </cols>
  <sheetData>
    <row r="1" spans="1:8" ht="26.25" x14ac:dyDescent="0.25">
      <c r="A1" s="8" t="s">
        <v>34</v>
      </c>
      <c r="E1" s="131" t="s">
        <v>442</v>
      </c>
      <c r="F1" s="133" t="s">
        <v>443</v>
      </c>
      <c r="G1" s="134" t="s">
        <v>444</v>
      </c>
      <c r="H1" s="115"/>
    </row>
    <row r="2" spans="1:8" ht="15" customHeight="1" x14ac:dyDescent="0.25">
      <c r="A2" s="65" t="str">
        <f>_xlfn.CONCAT(Paramètres!M5," ",Paramètres!N5)</f>
        <v>Décompte prévisionnel 2026</v>
      </c>
    </row>
    <row r="3" spans="1:8" ht="15" customHeight="1" x14ac:dyDescent="0.25">
      <c r="F3" s="96"/>
    </row>
    <row r="4" spans="1:8" ht="15" customHeight="1" x14ac:dyDescent="0.25">
      <c r="A4" s="618" t="s">
        <v>498</v>
      </c>
      <c r="B4" s="619"/>
      <c r="C4" s="620"/>
      <c r="D4" s="624">
        <f>Paramètres!G6</f>
        <v>842017811</v>
      </c>
    </row>
    <row r="5" spans="1:8" ht="15" customHeight="1" x14ac:dyDescent="0.25">
      <c r="A5" s="621"/>
      <c r="B5" s="622"/>
      <c r="C5" s="623"/>
      <c r="D5" s="625"/>
    </row>
    <row r="6" spans="1:8" ht="15" customHeight="1" x14ac:dyDescent="0.25"/>
    <row r="7" spans="1:8" ht="37.5" customHeight="1" x14ac:dyDescent="0.25">
      <c r="A7" s="268" t="s">
        <v>0</v>
      </c>
      <c r="B7" s="268" t="s">
        <v>1</v>
      </c>
      <c r="C7" s="101" t="s">
        <v>29</v>
      </c>
      <c r="D7" s="271" t="s">
        <v>14</v>
      </c>
    </row>
    <row r="8" spans="1:8" ht="15" customHeight="1" x14ac:dyDescent="0.25">
      <c r="A8" s="206">
        <f>Données!A8</f>
        <v>5401</v>
      </c>
      <c r="B8" s="207" t="str">
        <f>Données!B8</f>
        <v>Aigle</v>
      </c>
      <c r="C8" s="411">
        <f>Données!C8</f>
        <v>11780</v>
      </c>
      <c r="D8" s="412">
        <f t="shared" ref="D8:D71" si="0">$D$4/$C$308*C8</f>
        <v>11590980.314998908</v>
      </c>
    </row>
    <row r="9" spans="1:8" ht="15" customHeight="1" x14ac:dyDescent="0.25">
      <c r="A9" s="208">
        <f>Données!A9</f>
        <v>5402</v>
      </c>
      <c r="B9" s="209" t="str">
        <f>Données!B9</f>
        <v>Bex</v>
      </c>
      <c r="C9" s="413">
        <f>Données!C9</f>
        <v>8806</v>
      </c>
      <c r="D9" s="414">
        <f t="shared" si="0"/>
        <v>8664700.564845534</v>
      </c>
    </row>
    <row r="10" spans="1:8" x14ac:dyDescent="0.25">
      <c r="A10" s="208">
        <f>Données!A10</f>
        <v>5403</v>
      </c>
      <c r="B10" s="209" t="str">
        <f>Données!B10</f>
        <v>Chessel</v>
      </c>
      <c r="C10" s="413">
        <f>Données!C10</f>
        <v>528</v>
      </c>
      <c r="D10" s="414">
        <f t="shared" si="0"/>
        <v>519527.81038365222</v>
      </c>
    </row>
    <row r="11" spans="1:8" x14ac:dyDescent="0.25">
      <c r="A11" s="208">
        <f>Données!A11</f>
        <v>5404</v>
      </c>
      <c r="B11" s="209" t="str">
        <f>Données!B11</f>
        <v>Corbeyrier</v>
      </c>
      <c r="C11" s="413">
        <f>Données!C11</f>
        <v>452</v>
      </c>
      <c r="D11" s="414">
        <f t="shared" si="0"/>
        <v>444747.29222236894</v>
      </c>
    </row>
    <row r="12" spans="1:8" x14ac:dyDescent="0.25">
      <c r="A12" s="208">
        <f>Données!A12</f>
        <v>5405</v>
      </c>
      <c r="B12" s="209" t="str">
        <f>Données!B12</f>
        <v>Gryon</v>
      </c>
      <c r="C12" s="413">
        <f>Données!C12</f>
        <v>1525</v>
      </c>
      <c r="D12" s="414">
        <f t="shared" si="0"/>
        <v>1500530.1341573289</v>
      </c>
    </row>
    <row r="13" spans="1:8" x14ac:dyDescent="0.25">
      <c r="A13" s="208">
        <f>Données!A13</f>
        <v>5406</v>
      </c>
      <c r="B13" s="209" t="str">
        <f>Données!B13</f>
        <v>Lavey-Morcles</v>
      </c>
      <c r="C13" s="413">
        <f>Données!C13</f>
        <v>1014</v>
      </c>
      <c r="D13" s="414">
        <f t="shared" si="0"/>
        <v>997729.54494133207</v>
      </c>
    </row>
    <row r="14" spans="1:8" ht="15" customHeight="1" x14ac:dyDescent="0.25">
      <c r="A14" s="208">
        <f>Données!A14</f>
        <v>5407</v>
      </c>
      <c r="B14" s="209" t="str">
        <f>Données!B14</f>
        <v>Leysin</v>
      </c>
      <c r="C14" s="413">
        <f>Données!C14</f>
        <v>3685</v>
      </c>
      <c r="D14" s="414">
        <f t="shared" si="0"/>
        <v>3625871.1766359061</v>
      </c>
    </row>
    <row r="15" spans="1:8" ht="15" customHeight="1" x14ac:dyDescent="0.25">
      <c r="A15" s="208">
        <f>Données!A15</f>
        <v>5408</v>
      </c>
      <c r="B15" s="209" t="str">
        <f>Données!B15</f>
        <v>Noville</v>
      </c>
      <c r="C15" s="413">
        <f>Données!C15</f>
        <v>1208</v>
      </c>
      <c r="D15" s="414">
        <f t="shared" si="0"/>
        <v>1188616.6570898711</v>
      </c>
    </row>
    <row r="16" spans="1:8" x14ac:dyDescent="0.25">
      <c r="A16" s="208">
        <f>Données!A16</f>
        <v>5409</v>
      </c>
      <c r="B16" s="209" t="str">
        <f>Données!B16</f>
        <v>Ollon</v>
      </c>
      <c r="C16" s="413">
        <f>Données!C16</f>
        <v>8222</v>
      </c>
      <c r="D16" s="414">
        <f t="shared" si="0"/>
        <v>8090071.3200272508</v>
      </c>
    </row>
    <row r="17" spans="1:4" x14ac:dyDescent="0.25">
      <c r="A17" s="208">
        <f>Données!A17</f>
        <v>5410</v>
      </c>
      <c r="B17" s="209" t="str">
        <f>Données!B17</f>
        <v>Ormont-Dessous</v>
      </c>
      <c r="C17" s="413">
        <f>Données!C17</f>
        <v>1244</v>
      </c>
      <c r="D17" s="414">
        <f t="shared" si="0"/>
        <v>1224039.0077978473</v>
      </c>
    </row>
    <row r="18" spans="1:4" x14ac:dyDescent="0.25">
      <c r="A18" s="208">
        <f>Données!A18</f>
        <v>5411</v>
      </c>
      <c r="B18" s="209" t="str">
        <f>Données!B18</f>
        <v>Ormont-Dessus</v>
      </c>
      <c r="C18" s="413">
        <f>Données!C18</f>
        <v>1435</v>
      </c>
      <c r="D18" s="414">
        <f t="shared" si="0"/>
        <v>1411974.2573873883</v>
      </c>
    </row>
    <row r="19" spans="1:4" x14ac:dyDescent="0.25">
      <c r="A19" s="208">
        <f>Données!A19</f>
        <v>5412</v>
      </c>
      <c r="B19" s="209" t="str">
        <f>Données!B19</f>
        <v>Rennaz</v>
      </c>
      <c r="C19" s="413">
        <f>Données!C19</f>
        <v>949</v>
      </c>
      <c r="D19" s="414">
        <f t="shared" si="0"/>
        <v>933772.52282970829</v>
      </c>
    </row>
    <row r="20" spans="1:4" ht="15" customHeight="1" x14ac:dyDescent="0.25">
      <c r="A20" s="208">
        <f>Données!A20</f>
        <v>5413</v>
      </c>
      <c r="B20" s="209" t="str">
        <f>Données!B20</f>
        <v>Roche</v>
      </c>
      <c r="C20" s="413">
        <f>Données!C20</f>
        <v>1996</v>
      </c>
      <c r="D20" s="414">
        <f t="shared" si="0"/>
        <v>1963972.5559200186</v>
      </c>
    </row>
    <row r="21" spans="1:4" ht="15" customHeight="1" x14ac:dyDescent="0.25">
      <c r="A21" s="208">
        <f>Données!A21</f>
        <v>5414</v>
      </c>
      <c r="B21" s="209" t="str">
        <f>Données!B21</f>
        <v>Villeneuve</v>
      </c>
      <c r="C21" s="413">
        <f>Données!C21</f>
        <v>6039</v>
      </c>
      <c r="D21" s="414">
        <f t="shared" si="0"/>
        <v>5942099.3312630225</v>
      </c>
    </row>
    <row r="22" spans="1:4" x14ac:dyDescent="0.25">
      <c r="A22" s="208">
        <f>Données!A22</f>
        <v>5415</v>
      </c>
      <c r="B22" s="209" t="str">
        <f>Données!B22</f>
        <v>Yvorne</v>
      </c>
      <c r="C22" s="413">
        <f>Données!C22</f>
        <v>1110</v>
      </c>
      <c r="D22" s="414">
        <f t="shared" si="0"/>
        <v>1092189.1468292689</v>
      </c>
    </row>
    <row r="23" spans="1:4" x14ac:dyDescent="0.25">
      <c r="A23" s="208">
        <f>Données!A23</f>
        <v>5422</v>
      </c>
      <c r="B23" s="209" t="str">
        <f>Données!B23</f>
        <v>Aubonne</v>
      </c>
      <c r="C23" s="413">
        <f>Données!C23</f>
        <v>3862</v>
      </c>
      <c r="D23" s="414">
        <f t="shared" si="0"/>
        <v>3800031.0676167896</v>
      </c>
    </row>
    <row r="24" spans="1:4" ht="15" customHeight="1" x14ac:dyDescent="0.25">
      <c r="A24" s="208">
        <f>Données!A24</f>
        <v>5423</v>
      </c>
      <c r="B24" s="209" t="str">
        <f>Données!B24</f>
        <v>Ballens</v>
      </c>
      <c r="C24" s="413">
        <f>Données!C24</f>
        <v>579</v>
      </c>
      <c r="D24" s="414">
        <f t="shared" si="0"/>
        <v>569709.47388661862</v>
      </c>
    </row>
    <row r="25" spans="1:4" x14ac:dyDescent="0.25">
      <c r="A25" s="208">
        <f>Données!A25</f>
        <v>5424</v>
      </c>
      <c r="B25" s="209" t="str">
        <f>Données!B25</f>
        <v>Berolle</v>
      </c>
      <c r="C25" s="413">
        <f>Données!C25</f>
        <v>303</v>
      </c>
      <c r="D25" s="414">
        <f t="shared" si="0"/>
        <v>298138.11845880043</v>
      </c>
    </row>
    <row r="26" spans="1:4" x14ac:dyDescent="0.25">
      <c r="A26" s="208">
        <f>Données!A26</f>
        <v>5425</v>
      </c>
      <c r="B26" s="209" t="str">
        <f>Données!B26</f>
        <v>Bière</v>
      </c>
      <c r="C26" s="413">
        <f>Données!C26</f>
        <v>1680</v>
      </c>
      <c r="D26" s="414">
        <f t="shared" si="0"/>
        <v>1653043.0330388935</v>
      </c>
    </row>
    <row r="27" spans="1:4" x14ac:dyDescent="0.25">
      <c r="A27" s="208">
        <f>Données!A27</f>
        <v>5426</v>
      </c>
      <c r="B27" s="209" t="str">
        <f>Données!B27</f>
        <v>Bougy-Villars</v>
      </c>
      <c r="C27" s="413">
        <f>Données!C27</f>
        <v>511</v>
      </c>
      <c r="D27" s="414">
        <f t="shared" si="0"/>
        <v>502800.58921599673</v>
      </c>
    </row>
    <row r="28" spans="1:4" ht="15" customHeight="1" x14ac:dyDescent="0.25">
      <c r="A28" s="208">
        <f>Données!A28</f>
        <v>5427</v>
      </c>
      <c r="B28" s="209" t="str">
        <f>Données!B28</f>
        <v>Féchy</v>
      </c>
      <c r="C28" s="413">
        <f>Données!C28</f>
        <v>919</v>
      </c>
      <c r="D28" s="414">
        <f t="shared" si="0"/>
        <v>904253.89723972802</v>
      </c>
    </row>
    <row r="29" spans="1:4" x14ac:dyDescent="0.25">
      <c r="A29" s="208">
        <f>Données!A29</f>
        <v>5428</v>
      </c>
      <c r="B29" s="209" t="str">
        <f>Données!B29</f>
        <v>Gimel</v>
      </c>
      <c r="C29" s="413">
        <f>Données!C29</f>
        <v>2458</v>
      </c>
      <c r="D29" s="414">
        <f t="shared" si="0"/>
        <v>2418559.3900057143</v>
      </c>
    </row>
    <row r="30" spans="1:4" x14ac:dyDescent="0.25">
      <c r="A30" s="208">
        <f>Données!A30</f>
        <v>5429</v>
      </c>
      <c r="B30" s="209" t="str">
        <f>Données!B30</f>
        <v>Longirod</v>
      </c>
      <c r="C30" s="413">
        <f>Données!C30</f>
        <v>555</v>
      </c>
      <c r="D30" s="414">
        <f t="shared" si="0"/>
        <v>546094.57341463445</v>
      </c>
    </row>
    <row r="31" spans="1:4" x14ac:dyDescent="0.25">
      <c r="A31" s="208">
        <f>Données!A31</f>
        <v>5430</v>
      </c>
      <c r="B31" s="209" t="str">
        <f>Données!B31</f>
        <v>Marchissy</v>
      </c>
      <c r="C31" s="413">
        <f>Données!C31</f>
        <v>510</v>
      </c>
      <c r="D31" s="414">
        <f t="shared" si="0"/>
        <v>501816.63502966409</v>
      </c>
    </row>
    <row r="32" spans="1:4" x14ac:dyDescent="0.25">
      <c r="A32" s="208">
        <f>Données!A32</f>
        <v>5431</v>
      </c>
      <c r="B32" s="209" t="str">
        <f>Données!B32</f>
        <v>Mollens</v>
      </c>
      <c r="C32" s="413">
        <f>Données!C32</f>
        <v>324</v>
      </c>
      <c r="D32" s="414">
        <f t="shared" si="0"/>
        <v>318801.15637178661</v>
      </c>
    </row>
    <row r="33" spans="1:4" x14ac:dyDescent="0.25">
      <c r="A33" s="208">
        <f>Données!A33</f>
        <v>5434</v>
      </c>
      <c r="B33" s="209" t="str">
        <f>Données!B33</f>
        <v>Saint-George</v>
      </c>
      <c r="C33" s="413">
        <f>Données!C33</f>
        <v>1083</v>
      </c>
      <c r="D33" s="414">
        <f t="shared" si="0"/>
        <v>1065622.3837982868</v>
      </c>
    </row>
    <row r="34" spans="1:4" x14ac:dyDescent="0.25">
      <c r="A34" s="208">
        <f>Données!A34</f>
        <v>5435</v>
      </c>
      <c r="B34" s="209" t="str">
        <f>Données!B34</f>
        <v>Saint-Livres</v>
      </c>
      <c r="C34" s="413">
        <f>Données!C34</f>
        <v>715</v>
      </c>
      <c r="D34" s="414">
        <f t="shared" si="0"/>
        <v>703527.2432278624</v>
      </c>
    </row>
    <row r="35" spans="1:4" x14ac:dyDescent="0.25">
      <c r="A35" s="208">
        <f>Données!A35</f>
        <v>5436</v>
      </c>
      <c r="B35" s="209" t="str">
        <f>Données!B35</f>
        <v>Saint-Oyens</v>
      </c>
      <c r="C35" s="413">
        <f>Données!C35</f>
        <v>457</v>
      </c>
      <c r="D35" s="414">
        <f t="shared" si="0"/>
        <v>449667.06315403234</v>
      </c>
    </row>
    <row r="36" spans="1:4" x14ac:dyDescent="0.25">
      <c r="A36" s="208">
        <f>Données!A36</f>
        <v>5437</v>
      </c>
      <c r="B36" s="209" t="str">
        <f>Données!B36</f>
        <v>Saubraz</v>
      </c>
      <c r="C36" s="413">
        <f>Données!C36</f>
        <v>446</v>
      </c>
      <c r="D36" s="414">
        <f t="shared" si="0"/>
        <v>438843.56710437289</v>
      </c>
    </row>
    <row r="37" spans="1:4" x14ac:dyDescent="0.25">
      <c r="A37" s="208">
        <f>Données!A37</f>
        <v>5451</v>
      </c>
      <c r="B37" s="209" t="str">
        <f>Données!B37</f>
        <v>Avenches</v>
      </c>
      <c r="C37" s="413">
        <f>Données!C37</f>
        <v>4895</v>
      </c>
      <c r="D37" s="414">
        <f t="shared" si="0"/>
        <v>4816455.7420984423</v>
      </c>
    </row>
    <row r="38" spans="1:4" x14ac:dyDescent="0.25">
      <c r="A38" s="208">
        <f>Données!A38</f>
        <v>5456</v>
      </c>
      <c r="B38" s="209" t="str">
        <f>Données!B38</f>
        <v>Cudrefin</v>
      </c>
      <c r="C38" s="413">
        <f>Données!C38</f>
        <v>1885</v>
      </c>
      <c r="D38" s="414">
        <f t="shared" si="0"/>
        <v>1854753.6412370917</v>
      </c>
    </row>
    <row r="39" spans="1:4" x14ac:dyDescent="0.25">
      <c r="A39" s="208">
        <f>Données!A39</f>
        <v>5458</v>
      </c>
      <c r="B39" s="209" t="str">
        <f>Données!B39</f>
        <v>Faoug</v>
      </c>
      <c r="C39" s="413">
        <f>Données!C39</f>
        <v>900</v>
      </c>
      <c r="D39" s="414">
        <f t="shared" si="0"/>
        <v>885558.76769940718</v>
      </c>
    </row>
    <row r="40" spans="1:4" x14ac:dyDescent="0.25">
      <c r="A40" s="208">
        <f>Données!A40</f>
        <v>5464</v>
      </c>
      <c r="B40" s="209" t="str">
        <f>Données!B40</f>
        <v>Vully-les-Lacs</v>
      </c>
      <c r="C40" s="413">
        <f>Données!C40</f>
        <v>3639</v>
      </c>
      <c r="D40" s="414">
        <f t="shared" si="0"/>
        <v>3580609.284064603</v>
      </c>
    </row>
    <row r="41" spans="1:4" x14ac:dyDescent="0.25">
      <c r="A41" s="208">
        <f>Données!A41</f>
        <v>5471</v>
      </c>
      <c r="B41" s="209" t="str">
        <f>Données!B41</f>
        <v>Bettens</v>
      </c>
      <c r="C41" s="413">
        <f>Données!C41</f>
        <v>653</v>
      </c>
      <c r="D41" s="414">
        <f t="shared" si="0"/>
        <v>642522.08367523656</v>
      </c>
    </row>
    <row r="42" spans="1:4" x14ac:dyDescent="0.25">
      <c r="A42" s="208">
        <f>Données!A42</f>
        <v>5472</v>
      </c>
      <c r="B42" s="209" t="str">
        <f>Données!B42</f>
        <v>Bournens</v>
      </c>
      <c r="C42" s="413">
        <f>Données!C42</f>
        <v>532</v>
      </c>
      <c r="D42" s="414">
        <f t="shared" si="0"/>
        <v>523463.62712898292</v>
      </c>
    </row>
    <row r="43" spans="1:4" x14ac:dyDescent="0.25">
      <c r="A43" s="208">
        <f>Données!A43</f>
        <v>5473</v>
      </c>
      <c r="B43" s="209" t="str">
        <f>Données!B43</f>
        <v>Boussens</v>
      </c>
      <c r="C43" s="413">
        <f>Données!C43</f>
        <v>1007</v>
      </c>
      <c r="D43" s="414">
        <f t="shared" si="0"/>
        <v>990841.86563700344</v>
      </c>
    </row>
    <row r="44" spans="1:4" x14ac:dyDescent="0.25">
      <c r="A44" s="208">
        <f>Données!A44</f>
        <v>5474</v>
      </c>
      <c r="B44" s="209" t="str">
        <f>Données!B44</f>
        <v>La Chaux (Cossonay)</v>
      </c>
      <c r="C44" s="413">
        <f>Données!C44</f>
        <v>436</v>
      </c>
      <c r="D44" s="414">
        <f t="shared" si="0"/>
        <v>429004.02524104615</v>
      </c>
    </row>
    <row r="45" spans="1:4" x14ac:dyDescent="0.25">
      <c r="A45" s="208">
        <f>Données!A45</f>
        <v>5475</v>
      </c>
      <c r="B45" s="209" t="str">
        <f>Données!B45</f>
        <v>Chavannes-le-Veyron</v>
      </c>
      <c r="C45" s="413">
        <f>Données!C45</f>
        <v>160</v>
      </c>
      <c r="D45" s="414">
        <f t="shared" si="0"/>
        <v>157432.66981322796</v>
      </c>
    </row>
    <row r="46" spans="1:4" x14ac:dyDescent="0.25">
      <c r="A46" s="208">
        <f>Données!A46</f>
        <v>5476</v>
      </c>
      <c r="B46" s="209" t="str">
        <f>Données!B46</f>
        <v>Chevilly</v>
      </c>
      <c r="C46" s="413">
        <f>Données!C46</f>
        <v>346</v>
      </c>
      <c r="D46" s="414">
        <f t="shared" si="0"/>
        <v>340448.14847110544</v>
      </c>
    </row>
    <row r="47" spans="1:4" x14ac:dyDescent="0.25">
      <c r="A47" s="208">
        <f>Données!A47</f>
        <v>5477</v>
      </c>
      <c r="B47" s="209" t="str">
        <f>Données!B47</f>
        <v>Cossonay</v>
      </c>
      <c r="C47" s="413">
        <f>Données!C47</f>
        <v>4902</v>
      </c>
      <c r="D47" s="414">
        <f t="shared" si="0"/>
        <v>4823343.421402771</v>
      </c>
    </row>
    <row r="48" spans="1:4" x14ac:dyDescent="0.25">
      <c r="A48" s="208">
        <f>Données!A48</f>
        <v>5479</v>
      </c>
      <c r="B48" s="209" t="str">
        <f>Données!B48</f>
        <v>Cuarnens</v>
      </c>
      <c r="C48" s="413">
        <f>Données!C48</f>
        <v>561</v>
      </c>
      <c r="D48" s="414">
        <f t="shared" si="0"/>
        <v>551998.29853263055</v>
      </c>
    </row>
    <row r="49" spans="1:4" x14ac:dyDescent="0.25">
      <c r="A49" s="208">
        <f>Données!A49</f>
        <v>5480</v>
      </c>
      <c r="B49" s="209" t="str">
        <f>Données!B49</f>
        <v>Daillens</v>
      </c>
      <c r="C49" s="413">
        <f>Données!C49</f>
        <v>1099</v>
      </c>
      <c r="D49" s="414">
        <f t="shared" si="0"/>
        <v>1081365.6507796096</v>
      </c>
    </row>
    <row r="50" spans="1:4" x14ac:dyDescent="0.25">
      <c r="A50" s="208">
        <f>Données!A50</f>
        <v>5481</v>
      </c>
      <c r="B50" s="209" t="str">
        <f>Données!B50</f>
        <v>Dizy</v>
      </c>
      <c r="C50" s="413">
        <f>Données!C50</f>
        <v>238</v>
      </c>
      <c r="D50" s="414">
        <f t="shared" si="0"/>
        <v>234181.09634717659</v>
      </c>
    </row>
    <row r="51" spans="1:4" x14ac:dyDescent="0.25">
      <c r="A51" s="208">
        <f>Données!A51</f>
        <v>5482</v>
      </c>
      <c r="B51" s="209" t="str">
        <f>Données!B51</f>
        <v>Eclépens</v>
      </c>
      <c r="C51" s="413">
        <f>Données!C51</f>
        <v>1211</v>
      </c>
      <c r="D51" s="414">
        <f t="shared" si="0"/>
        <v>1191568.5196488691</v>
      </c>
    </row>
    <row r="52" spans="1:4" x14ac:dyDescent="0.25">
      <c r="A52" s="208">
        <f>Données!A52</f>
        <v>5483</v>
      </c>
      <c r="B52" s="209" t="str">
        <f>Données!B52</f>
        <v>Ferreyres</v>
      </c>
      <c r="C52" s="413">
        <f>Données!C52</f>
        <v>309</v>
      </c>
      <c r="D52" s="414">
        <f t="shared" si="0"/>
        <v>304041.84357679647</v>
      </c>
    </row>
    <row r="53" spans="1:4" x14ac:dyDescent="0.25">
      <c r="A53" s="208">
        <f>Données!A53</f>
        <v>5484</v>
      </c>
      <c r="B53" s="209" t="str">
        <f>Données!B53</f>
        <v>Gollion</v>
      </c>
      <c r="C53" s="413">
        <f>Données!C53</f>
        <v>1064</v>
      </c>
      <c r="D53" s="414">
        <f t="shared" si="0"/>
        <v>1046927.2542579658</v>
      </c>
    </row>
    <row r="54" spans="1:4" x14ac:dyDescent="0.25">
      <c r="A54" s="208">
        <f>Données!A54</f>
        <v>5485</v>
      </c>
      <c r="B54" s="209" t="str">
        <f>Données!B54</f>
        <v>Grancy</v>
      </c>
      <c r="C54" s="413">
        <f>Données!C54</f>
        <v>540</v>
      </c>
      <c r="D54" s="414">
        <f t="shared" si="0"/>
        <v>531335.26061964431</v>
      </c>
    </row>
    <row r="55" spans="1:4" x14ac:dyDescent="0.25">
      <c r="A55" s="208">
        <f>Données!A55</f>
        <v>5486</v>
      </c>
      <c r="B55" s="209" t="str">
        <f>Données!B55</f>
        <v>L'Isle</v>
      </c>
      <c r="C55" s="413">
        <f>Données!C55</f>
        <v>1096</v>
      </c>
      <c r="D55" s="414">
        <f t="shared" si="0"/>
        <v>1078413.7882206114</v>
      </c>
    </row>
    <row r="56" spans="1:4" x14ac:dyDescent="0.25">
      <c r="A56" s="208">
        <f>Données!A56</f>
        <v>5487</v>
      </c>
      <c r="B56" s="209" t="str">
        <f>Données!B56</f>
        <v>Lussery-Villars</v>
      </c>
      <c r="C56" s="413">
        <f>Données!C56</f>
        <v>468</v>
      </c>
      <c r="D56" s="414">
        <f t="shared" si="0"/>
        <v>460490.55920369172</v>
      </c>
    </row>
    <row r="57" spans="1:4" x14ac:dyDescent="0.25">
      <c r="A57" s="208">
        <f>Données!A57</f>
        <v>5488</v>
      </c>
      <c r="B57" s="209" t="str">
        <f>Données!B57</f>
        <v>Mauraz</v>
      </c>
      <c r="C57" s="413">
        <f>Données!C57</f>
        <v>67</v>
      </c>
      <c r="D57" s="414">
        <f t="shared" si="0"/>
        <v>65924.930484289202</v>
      </c>
    </row>
    <row r="58" spans="1:4" x14ac:dyDescent="0.25">
      <c r="A58" s="208">
        <f>Données!A58</f>
        <v>5489</v>
      </c>
      <c r="B58" s="209" t="str">
        <f>Données!B58</f>
        <v>Mex</v>
      </c>
      <c r="C58" s="413">
        <f>Données!C58</f>
        <v>809</v>
      </c>
      <c r="D58" s="414">
        <f t="shared" si="0"/>
        <v>796018.93674313382</v>
      </c>
    </row>
    <row r="59" spans="1:4" x14ac:dyDescent="0.25">
      <c r="A59" s="208">
        <f>Données!A59</f>
        <v>5490</v>
      </c>
      <c r="B59" s="209" t="str">
        <f>Données!B59</f>
        <v>Moiry</v>
      </c>
      <c r="C59" s="413">
        <f>Données!C59</f>
        <v>299</v>
      </c>
      <c r="D59" s="414">
        <f t="shared" si="0"/>
        <v>294202.30171346973</v>
      </c>
    </row>
    <row r="60" spans="1:4" x14ac:dyDescent="0.25">
      <c r="A60" s="208">
        <f>Données!A60</f>
        <v>5491</v>
      </c>
      <c r="B60" s="209" t="str">
        <f>Données!B60</f>
        <v>Mont-la-Ville</v>
      </c>
      <c r="C60" s="413">
        <f>Données!C60</f>
        <v>495</v>
      </c>
      <c r="D60" s="414">
        <f t="shared" si="0"/>
        <v>487057.32223467395</v>
      </c>
    </row>
    <row r="61" spans="1:4" x14ac:dyDescent="0.25">
      <c r="A61" s="208">
        <f>Données!A61</f>
        <v>5492</v>
      </c>
      <c r="B61" s="209" t="str">
        <f>Données!B61</f>
        <v>Montricher</v>
      </c>
      <c r="C61" s="413">
        <f>Données!C61</f>
        <v>943</v>
      </c>
      <c r="D61" s="414">
        <f t="shared" si="0"/>
        <v>927868.79771171219</v>
      </c>
    </row>
    <row r="62" spans="1:4" x14ac:dyDescent="0.25">
      <c r="A62" s="208">
        <f>Données!A62</f>
        <v>5493</v>
      </c>
      <c r="B62" s="209" t="str">
        <f>Données!B62</f>
        <v>Orny</v>
      </c>
      <c r="C62" s="413">
        <f>Données!C62</f>
        <v>497</v>
      </c>
      <c r="D62" s="414">
        <f t="shared" si="0"/>
        <v>489025.2306073393</v>
      </c>
    </row>
    <row r="63" spans="1:4" x14ac:dyDescent="0.25">
      <c r="A63" s="208">
        <f>Données!A63</f>
        <v>5495</v>
      </c>
      <c r="B63" s="209" t="str">
        <f>Données!B63</f>
        <v>Penthalaz</v>
      </c>
      <c r="C63" s="413">
        <f>Données!C63</f>
        <v>3177</v>
      </c>
      <c r="D63" s="414">
        <f t="shared" si="0"/>
        <v>3126022.4499789076</v>
      </c>
    </row>
    <row r="64" spans="1:4" x14ac:dyDescent="0.25">
      <c r="A64" s="208">
        <f>Données!A64</f>
        <v>5496</v>
      </c>
      <c r="B64" s="209" t="str">
        <f>Données!B64</f>
        <v>Penthaz</v>
      </c>
      <c r="C64" s="413">
        <f>Données!C64</f>
        <v>1946</v>
      </c>
      <c r="D64" s="414">
        <f t="shared" si="0"/>
        <v>1914774.8466033849</v>
      </c>
    </row>
    <row r="65" spans="1:4" x14ac:dyDescent="0.25">
      <c r="A65" s="208">
        <f>Données!A65</f>
        <v>5497</v>
      </c>
      <c r="B65" s="209" t="str">
        <f>Données!B65</f>
        <v>Pompaples</v>
      </c>
      <c r="C65" s="413">
        <f>Données!C65</f>
        <v>930</v>
      </c>
      <c r="D65" s="414">
        <f t="shared" si="0"/>
        <v>915077.39328938746</v>
      </c>
    </row>
    <row r="66" spans="1:4" x14ac:dyDescent="0.25">
      <c r="A66" s="208">
        <f>Données!A66</f>
        <v>5498</v>
      </c>
      <c r="B66" s="209" t="str">
        <f>Données!B66</f>
        <v>La Sarraz</v>
      </c>
      <c r="C66" s="413">
        <f>Données!C66</f>
        <v>2618</v>
      </c>
      <c r="D66" s="414">
        <f t="shared" si="0"/>
        <v>2575992.0598189421</v>
      </c>
    </row>
    <row r="67" spans="1:4" x14ac:dyDescent="0.25">
      <c r="A67" s="208">
        <f>Données!A67</f>
        <v>5499</v>
      </c>
      <c r="B67" s="209" t="str">
        <f>Données!B67</f>
        <v>Senarclens</v>
      </c>
      <c r="C67" s="413">
        <f>Données!C67</f>
        <v>480</v>
      </c>
      <c r="D67" s="414">
        <f t="shared" si="0"/>
        <v>472298.00943968387</v>
      </c>
    </row>
    <row r="68" spans="1:4" x14ac:dyDescent="0.25">
      <c r="A68" s="208">
        <f>Données!A68</f>
        <v>5501</v>
      </c>
      <c r="B68" s="209" t="str">
        <f>Données!B68</f>
        <v>Sullens</v>
      </c>
      <c r="C68" s="413">
        <f>Données!C68</f>
        <v>1225</v>
      </c>
      <c r="D68" s="414">
        <f t="shared" si="0"/>
        <v>1205343.8782575266</v>
      </c>
    </row>
    <row r="69" spans="1:4" x14ac:dyDescent="0.25">
      <c r="A69" s="208">
        <f>Données!A69</f>
        <v>5503</v>
      </c>
      <c r="B69" s="209" t="str">
        <f>Données!B69</f>
        <v>Vufflens-la-Ville</v>
      </c>
      <c r="C69" s="413">
        <f>Données!C69</f>
        <v>1342</v>
      </c>
      <c r="D69" s="414">
        <f t="shared" si="0"/>
        <v>1320466.5180584495</v>
      </c>
    </row>
    <row r="70" spans="1:4" x14ac:dyDescent="0.25">
      <c r="A70" s="208">
        <f>Données!A70</f>
        <v>5511</v>
      </c>
      <c r="B70" s="209" t="str">
        <f>Données!B70</f>
        <v>Assens</v>
      </c>
      <c r="C70" s="413">
        <f>Données!C70</f>
        <v>1711</v>
      </c>
      <c r="D70" s="414">
        <f t="shared" si="0"/>
        <v>1683545.6128152064</v>
      </c>
    </row>
    <row r="71" spans="1:4" x14ac:dyDescent="0.25">
      <c r="A71" s="208">
        <f>Données!A71</f>
        <v>5512</v>
      </c>
      <c r="B71" s="209" t="str">
        <f>Données!B71</f>
        <v>Bercher</v>
      </c>
      <c r="C71" s="413">
        <f>Données!C71</f>
        <v>1344</v>
      </c>
      <c r="D71" s="414">
        <f t="shared" si="0"/>
        <v>1322434.4264311148</v>
      </c>
    </row>
    <row r="72" spans="1:4" x14ac:dyDescent="0.25">
      <c r="A72" s="208">
        <f>Données!A72</f>
        <v>5514</v>
      </c>
      <c r="B72" s="209" t="str">
        <f>Données!B72</f>
        <v>Bottens</v>
      </c>
      <c r="C72" s="413">
        <f>Données!C72</f>
        <v>1358</v>
      </c>
      <c r="D72" s="414">
        <f t="shared" ref="D72:D135" si="1">$D$4/$C$308*C72</f>
        <v>1336209.7850397723</v>
      </c>
    </row>
    <row r="73" spans="1:4" x14ac:dyDescent="0.25">
      <c r="A73" s="208">
        <f>Données!A73</f>
        <v>5515</v>
      </c>
      <c r="B73" s="209" t="str">
        <f>Données!B73</f>
        <v>Bretigny-sur-Morrens</v>
      </c>
      <c r="C73" s="413">
        <f>Données!C73</f>
        <v>898</v>
      </c>
      <c r="D73" s="414">
        <f t="shared" si="1"/>
        <v>883590.85932674189</v>
      </c>
    </row>
    <row r="74" spans="1:4" x14ac:dyDescent="0.25">
      <c r="A74" s="208">
        <f>Données!A74</f>
        <v>5516</v>
      </c>
      <c r="B74" s="209" t="str">
        <f>Données!B74</f>
        <v>Cugy</v>
      </c>
      <c r="C74" s="413">
        <f>Données!C74</f>
        <v>2790</v>
      </c>
      <c r="D74" s="414">
        <f t="shared" si="1"/>
        <v>2745232.1798681621</v>
      </c>
    </row>
    <row r="75" spans="1:4" x14ac:dyDescent="0.25">
      <c r="A75" s="208">
        <f>Données!A75</f>
        <v>5518</v>
      </c>
      <c r="B75" s="209" t="str">
        <f>Données!B75</f>
        <v>Echallens</v>
      </c>
      <c r="C75" s="413">
        <f>Données!C75</f>
        <v>6722</v>
      </c>
      <c r="D75" s="414">
        <f t="shared" si="1"/>
        <v>6614140.0405282388</v>
      </c>
    </row>
    <row r="76" spans="1:4" x14ac:dyDescent="0.25">
      <c r="A76" s="208">
        <f>Données!A76</f>
        <v>5520</v>
      </c>
      <c r="B76" s="209" t="str">
        <f>Données!B76</f>
        <v>Essertines-sur-Yverdon</v>
      </c>
      <c r="C76" s="413">
        <f>Données!C76</f>
        <v>1148</v>
      </c>
      <c r="D76" s="414">
        <f t="shared" si="1"/>
        <v>1129579.4059099106</v>
      </c>
    </row>
    <row r="77" spans="1:4" x14ac:dyDescent="0.25">
      <c r="A77" s="208">
        <f>Données!A77</f>
        <v>5521</v>
      </c>
      <c r="B77" s="209" t="str">
        <f>Données!B77</f>
        <v>Etagnières</v>
      </c>
      <c r="C77" s="413">
        <f>Données!C77</f>
        <v>1189</v>
      </c>
      <c r="D77" s="414">
        <f t="shared" si="1"/>
        <v>1169921.5275495502</v>
      </c>
    </row>
    <row r="78" spans="1:4" x14ac:dyDescent="0.25">
      <c r="A78" s="208">
        <f>Données!A78</f>
        <v>5522</v>
      </c>
      <c r="B78" s="209" t="str">
        <f>Données!B78</f>
        <v>Fey</v>
      </c>
      <c r="C78" s="413">
        <f>Données!C78</f>
        <v>789</v>
      </c>
      <c r="D78" s="414">
        <f t="shared" si="1"/>
        <v>776339.85301648034</v>
      </c>
    </row>
    <row r="79" spans="1:4" x14ac:dyDescent="0.25">
      <c r="A79" s="208">
        <f>Données!A79</f>
        <v>5523</v>
      </c>
      <c r="B79" s="209" t="str">
        <f>Données!B79</f>
        <v>Froideville</v>
      </c>
      <c r="C79" s="413">
        <f>Données!C79</f>
        <v>2731</v>
      </c>
      <c r="D79" s="414">
        <f t="shared" si="1"/>
        <v>2687178.8828745345</v>
      </c>
    </row>
    <row r="80" spans="1:4" x14ac:dyDescent="0.25">
      <c r="A80" s="208">
        <f>Données!A80</f>
        <v>5527</v>
      </c>
      <c r="B80" s="209" t="str">
        <f>Données!B80</f>
        <v>Morrens</v>
      </c>
      <c r="C80" s="413">
        <f>Données!C80</f>
        <v>1153</v>
      </c>
      <c r="D80" s="414">
        <f t="shared" si="1"/>
        <v>1134499.176841574</v>
      </c>
    </row>
    <row r="81" spans="1:4" x14ac:dyDescent="0.25">
      <c r="A81" s="208">
        <f>Données!A81</f>
        <v>5529</v>
      </c>
      <c r="B81" s="209" t="str">
        <f>Données!B81</f>
        <v>Oulens-sous-Echallens</v>
      </c>
      <c r="C81" s="413">
        <f>Données!C81</f>
        <v>607</v>
      </c>
      <c r="D81" s="414">
        <f t="shared" si="1"/>
        <v>597260.1911039335</v>
      </c>
    </row>
    <row r="82" spans="1:4" x14ac:dyDescent="0.25">
      <c r="A82" s="208">
        <f>Données!A82</f>
        <v>5530</v>
      </c>
      <c r="B82" s="209" t="str">
        <f>Données!B82</f>
        <v>Pailly</v>
      </c>
      <c r="C82" s="413">
        <f>Données!C82</f>
        <v>576</v>
      </c>
      <c r="D82" s="414">
        <f t="shared" si="1"/>
        <v>566757.61132762057</v>
      </c>
    </row>
    <row r="83" spans="1:4" x14ac:dyDescent="0.25">
      <c r="A83" s="208">
        <f>Données!A83</f>
        <v>5531</v>
      </c>
      <c r="B83" s="209" t="str">
        <f>Données!B83</f>
        <v>Penthéréaz</v>
      </c>
      <c r="C83" s="413">
        <f>Données!C83</f>
        <v>430</v>
      </c>
      <c r="D83" s="414">
        <f t="shared" si="1"/>
        <v>423100.30012305011</v>
      </c>
    </row>
    <row r="84" spans="1:4" x14ac:dyDescent="0.25">
      <c r="A84" s="208">
        <f>Données!A84</f>
        <v>5533</v>
      </c>
      <c r="B84" s="209" t="str">
        <f>Données!B84</f>
        <v>Poliez-Pittet</v>
      </c>
      <c r="C84" s="413">
        <f>Données!C84</f>
        <v>850</v>
      </c>
      <c r="D84" s="414">
        <f t="shared" si="1"/>
        <v>836361.05838277342</v>
      </c>
    </row>
    <row r="85" spans="1:4" x14ac:dyDescent="0.25">
      <c r="A85" s="208">
        <f>Données!A85</f>
        <v>5534</v>
      </c>
      <c r="B85" s="209" t="str">
        <f>Données!B85</f>
        <v>Rueyres</v>
      </c>
      <c r="C85" s="413">
        <f>Données!C85</f>
        <v>304</v>
      </c>
      <c r="D85" s="414">
        <f t="shared" si="1"/>
        <v>299122.07264513313</v>
      </c>
    </row>
    <row r="86" spans="1:4" x14ac:dyDescent="0.25">
      <c r="A86" s="208">
        <f>Données!A86</f>
        <v>5535</v>
      </c>
      <c r="B86" s="209" t="str">
        <f>Données!B86</f>
        <v>Saint-Barthélemy</v>
      </c>
      <c r="C86" s="413">
        <f>Données!C86</f>
        <v>837</v>
      </c>
      <c r="D86" s="414">
        <f t="shared" si="1"/>
        <v>823569.65396044869</v>
      </c>
    </row>
    <row r="87" spans="1:4" x14ac:dyDescent="0.25">
      <c r="A87" s="208">
        <f>Données!A87</f>
        <v>5537</v>
      </c>
      <c r="B87" s="209" t="str">
        <f>Données!B87</f>
        <v>Villars-le-Terroir</v>
      </c>
      <c r="C87" s="413">
        <f>Données!C87</f>
        <v>1307</v>
      </c>
      <c r="D87" s="414">
        <f t="shared" si="1"/>
        <v>1286028.1215368058</v>
      </c>
    </row>
    <row r="88" spans="1:4" x14ac:dyDescent="0.25">
      <c r="A88" s="208">
        <f>Données!A88</f>
        <v>5539</v>
      </c>
      <c r="B88" s="209" t="str">
        <f>Données!B88</f>
        <v>Vuarrens</v>
      </c>
      <c r="C88" s="413">
        <f>Données!C88</f>
        <v>1120</v>
      </c>
      <c r="D88" s="414">
        <f t="shared" si="1"/>
        <v>1102028.6886925956</v>
      </c>
    </row>
    <row r="89" spans="1:4" x14ac:dyDescent="0.25">
      <c r="A89" s="208">
        <f>Données!A89</f>
        <v>5540</v>
      </c>
      <c r="B89" s="209" t="str">
        <f>Données!B89</f>
        <v>Montilliez</v>
      </c>
      <c r="C89" s="413">
        <f>Données!C89</f>
        <v>1874</v>
      </c>
      <c r="D89" s="414">
        <f t="shared" si="1"/>
        <v>1843930.1451874324</v>
      </c>
    </row>
    <row r="90" spans="1:4" x14ac:dyDescent="0.25">
      <c r="A90" s="208">
        <f>Données!A90</f>
        <v>5541</v>
      </c>
      <c r="B90" s="209" t="str">
        <f>Données!B90</f>
        <v>Goumoëns</v>
      </c>
      <c r="C90" s="413">
        <f>Données!C90</f>
        <v>1211</v>
      </c>
      <c r="D90" s="414">
        <f t="shared" si="1"/>
        <v>1191568.5196488691</v>
      </c>
    </row>
    <row r="91" spans="1:4" x14ac:dyDescent="0.25">
      <c r="A91" s="208">
        <f>Données!A91</f>
        <v>5551</v>
      </c>
      <c r="B91" s="209" t="str">
        <f>Données!B91</f>
        <v>Bonvillars</v>
      </c>
      <c r="C91" s="413">
        <f>Données!C91</f>
        <v>518</v>
      </c>
      <c r="D91" s="414">
        <f t="shared" si="1"/>
        <v>509688.26852032548</v>
      </c>
    </row>
    <row r="92" spans="1:4" x14ac:dyDescent="0.25">
      <c r="A92" s="208">
        <f>Données!A92</f>
        <v>5552</v>
      </c>
      <c r="B92" s="209" t="str">
        <f>Données!B92</f>
        <v>Bullet</v>
      </c>
      <c r="C92" s="413">
        <f>Données!C92</f>
        <v>682</v>
      </c>
      <c r="D92" s="414">
        <f t="shared" si="1"/>
        <v>671056.75507888407</v>
      </c>
    </row>
    <row r="93" spans="1:4" x14ac:dyDescent="0.25">
      <c r="A93" s="208">
        <f>Données!A93</f>
        <v>5553</v>
      </c>
      <c r="B93" s="209" t="str">
        <f>Données!B93</f>
        <v>Champagne</v>
      </c>
      <c r="C93" s="413">
        <f>Données!C93</f>
        <v>1071</v>
      </c>
      <c r="D93" s="414">
        <f t="shared" si="1"/>
        <v>1053814.9335622946</v>
      </c>
    </row>
    <row r="94" spans="1:4" x14ac:dyDescent="0.25">
      <c r="A94" s="208">
        <f>Données!A94</f>
        <v>5554</v>
      </c>
      <c r="B94" s="209" t="str">
        <f>Données!B94</f>
        <v>Concise</v>
      </c>
      <c r="C94" s="413">
        <f>Données!C94</f>
        <v>1025</v>
      </c>
      <c r="D94" s="414">
        <f t="shared" si="1"/>
        <v>1008553.0409909915</v>
      </c>
    </row>
    <row r="95" spans="1:4" x14ac:dyDescent="0.25">
      <c r="A95" s="208">
        <f>Données!A95</f>
        <v>5555</v>
      </c>
      <c r="B95" s="209" t="str">
        <f>Données!B95</f>
        <v>Corcelles-près-Concise</v>
      </c>
      <c r="C95" s="413">
        <f>Données!C95</f>
        <v>438</v>
      </c>
      <c r="D95" s="414">
        <f t="shared" si="1"/>
        <v>430971.9336137115</v>
      </c>
    </row>
    <row r="96" spans="1:4" x14ac:dyDescent="0.25">
      <c r="A96" s="208">
        <f>Données!A96</f>
        <v>5556</v>
      </c>
      <c r="B96" s="209" t="str">
        <f>Données!B96</f>
        <v>Fiez</v>
      </c>
      <c r="C96" s="413">
        <f>Données!C96</f>
        <v>431</v>
      </c>
      <c r="D96" s="414">
        <f t="shared" si="1"/>
        <v>424084.25430938281</v>
      </c>
    </row>
    <row r="97" spans="1:4" x14ac:dyDescent="0.25">
      <c r="A97" s="208">
        <f>Données!A97</f>
        <v>5557</v>
      </c>
      <c r="B97" s="209" t="str">
        <f>Données!B97</f>
        <v>Fontaines-sur-Grandson</v>
      </c>
      <c r="C97" s="413">
        <f>Données!C97</f>
        <v>220</v>
      </c>
      <c r="D97" s="414">
        <f t="shared" si="1"/>
        <v>216469.92099318843</v>
      </c>
    </row>
    <row r="98" spans="1:4" x14ac:dyDescent="0.25">
      <c r="A98" s="208">
        <f>Données!A98</f>
        <v>5559</v>
      </c>
      <c r="B98" s="209" t="str">
        <f>Données!B98</f>
        <v>Giez</v>
      </c>
      <c r="C98" s="413">
        <f>Données!C98</f>
        <v>464</v>
      </c>
      <c r="D98" s="414">
        <f t="shared" si="1"/>
        <v>456554.74245836103</v>
      </c>
    </row>
    <row r="99" spans="1:4" x14ac:dyDescent="0.25">
      <c r="A99" s="208">
        <f>Données!A99</f>
        <v>5560</v>
      </c>
      <c r="B99" s="209" t="str">
        <f>Données!B99</f>
        <v>Grandevent</v>
      </c>
      <c r="C99" s="413">
        <f>Données!C99</f>
        <v>241</v>
      </c>
      <c r="D99" s="414">
        <f t="shared" si="1"/>
        <v>237132.95890617461</v>
      </c>
    </row>
    <row r="100" spans="1:4" x14ac:dyDescent="0.25">
      <c r="A100" s="208">
        <f>Données!A100</f>
        <v>5561</v>
      </c>
      <c r="B100" s="209" t="str">
        <f>Données!B100</f>
        <v>Grandson</v>
      </c>
      <c r="C100" s="413">
        <f>Données!C100</f>
        <v>3396</v>
      </c>
      <c r="D100" s="414">
        <f t="shared" si="1"/>
        <v>3341508.4167857631</v>
      </c>
    </row>
    <row r="101" spans="1:4" x14ac:dyDescent="0.25">
      <c r="A101" s="208">
        <f>Données!A101</f>
        <v>5562</v>
      </c>
      <c r="B101" s="209" t="str">
        <f>Données!B101</f>
        <v>Mauborget</v>
      </c>
      <c r="C101" s="413">
        <f>Données!C101</f>
        <v>145</v>
      </c>
      <c r="D101" s="414">
        <f t="shared" si="1"/>
        <v>142673.35701823782</v>
      </c>
    </row>
    <row r="102" spans="1:4" x14ac:dyDescent="0.25">
      <c r="A102" s="208">
        <f>Données!A102</f>
        <v>5563</v>
      </c>
      <c r="B102" s="209" t="str">
        <f>Données!B102</f>
        <v>Mutrux</v>
      </c>
      <c r="C102" s="413">
        <f>Données!C102</f>
        <v>144</v>
      </c>
      <c r="D102" s="414">
        <f t="shared" si="1"/>
        <v>141689.40283190514</v>
      </c>
    </row>
    <row r="103" spans="1:4" x14ac:dyDescent="0.25">
      <c r="A103" s="208">
        <f>Données!A103</f>
        <v>5564</v>
      </c>
      <c r="B103" s="209" t="str">
        <f>Données!B103</f>
        <v>Novalles</v>
      </c>
      <c r="C103" s="413">
        <f>Données!C103</f>
        <v>106</v>
      </c>
      <c r="D103" s="414">
        <f t="shared" si="1"/>
        <v>104299.14375126352</v>
      </c>
    </row>
    <row r="104" spans="1:4" x14ac:dyDescent="0.25">
      <c r="A104" s="208">
        <f>Données!A104</f>
        <v>5565</v>
      </c>
      <c r="B104" s="209" t="str">
        <f>Données!B104</f>
        <v>Onnens</v>
      </c>
      <c r="C104" s="413">
        <f>Données!C104</f>
        <v>520</v>
      </c>
      <c r="D104" s="414">
        <f t="shared" si="1"/>
        <v>511656.17689299083</v>
      </c>
    </row>
    <row r="105" spans="1:4" x14ac:dyDescent="0.25">
      <c r="A105" s="208">
        <f>Données!A105</f>
        <v>5566</v>
      </c>
      <c r="B105" s="209" t="str">
        <f>Données!B105</f>
        <v>Provence</v>
      </c>
      <c r="C105" s="413">
        <f>Données!C105</f>
        <v>411</v>
      </c>
      <c r="D105" s="414">
        <f t="shared" si="1"/>
        <v>404405.17058272928</v>
      </c>
    </row>
    <row r="106" spans="1:4" x14ac:dyDescent="0.25">
      <c r="A106" s="208">
        <f>Données!A106</f>
        <v>5568</v>
      </c>
      <c r="B106" s="209" t="str">
        <f>Données!B106</f>
        <v>Sainte-Croix</v>
      </c>
      <c r="C106" s="413">
        <f>Données!C106</f>
        <v>5130</v>
      </c>
      <c r="D106" s="414">
        <f t="shared" si="1"/>
        <v>5047684.9758866215</v>
      </c>
    </row>
    <row r="107" spans="1:4" x14ac:dyDescent="0.25">
      <c r="A107" s="208">
        <f>Données!A107</f>
        <v>5571</v>
      </c>
      <c r="B107" s="209" t="str">
        <f>Données!B107</f>
        <v>Tévenon</v>
      </c>
      <c r="C107" s="413">
        <f>Données!C107</f>
        <v>861</v>
      </c>
      <c r="D107" s="414">
        <f t="shared" si="1"/>
        <v>847184.55443243287</v>
      </c>
    </row>
    <row r="108" spans="1:4" x14ac:dyDescent="0.25">
      <c r="A108" s="208">
        <f>Données!A108</f>
        <v>5581</v>
      </c>
      <c r="B108" s="209" t="str">
        <f>Données!B108</f>
        <v>Belmont-sur-Lausanne</v>
      </c>
      <c r="C108" s="413">
        <f>Données!C108</f>
        <v>3922</v>
      </c>
      <c r="D108" s="414">
        <f t="shared" si="1"/>
        <v>3859068.3187967502</v>
      </c>
    </row>
    <row r="109" spans="1:4" x14ac:dyDescent="0.25">
      <c r="A109" s="208">
        <f>Données!A109</f>
        <v>5582</v>
      </c>
      <c r="B109" s="209" t="str">
        <f>Données!B109</f>
        <v>Cheseaux-sur-Lausanne</v>
      </c>
      <c r="C109" s="413">
        <f>Données!C109</f>
        <v>4855</v>
      </c>
      <c r="D109" s="414">
        <f t="shared" si="1"/>
        <v>4777097.5746451356</v>
      </c>
    </row>
    <row r="110" spans="1:4" x14ac:dyDescent="0.25">
      <c r="A110" s="208">
        <f>Données!A110</f>
        <v>5583</v>
      </c>
      <c r="B110" s="209" t="str">
        <f>Données!B110</f>
        <v>Crissier</v>
      </c>
      <c r="C110" s="413">
        <f>Données!C110</f>
        <v>10680</v>
      </c>
      <c r="D110" s="414">
        <f t="shared" si="1"/>
        <v>10508630.710032966</v>
      </c>
    </row>
    <row r="111" spans="1:4" x14ac:dyDescent="0.25">
      <c r="A111" s="208">
        <f>Données!A111</f>
        <v>5584</v>
      </c>
      <c r="B111" s="209" t="str">
        <f>Données!B111</f>
        <v>Epalinges</v>
      </c>
      <c r="C111" s="413">
        <f>Données!C111</f>
        <v>9905</v>
      </c>
      <c r="D111" s="414">
        <f t="shared" si="1"/>
        <v>9746066.2156251427</v>
      </c>
    </row>
    <row r="112" spans="1:4" x14ac:dyDescent="0.25">
      <c r="A112" s="208">
        <f>Données!A112</f>
        <v>5585</v>
      </c>
      <c r="B112" s="209" t="str">
        <f>Données!B112</f>
        <v>Jouxtens-Mézery</v>
      </c>
      <c r="C112" s="413">
        <f>Données!C112</f>
        <v>1482</v>
      </c>
      <c r="D112" s="414">
        <f t="shared" si="1"/>
        <v>1458220.104145024</v>
      </c>
    </row>
    <row r="113" spans="1:4" x14ac:dyDescent="0.25">
      <c r="A113" s="208">
        <f>Données!A113</f>
        <v>5586</v>
      </c>
      <c r="B113" s="209" t="str">
        <f>Données!B113</f>
        <v>Lausanne</v>
      </c>
      <c r="C113" s="413">
        <f>Données!C113</f>
        <v>145037</v>
      </c>
      <c r="D113" s="414">
        <f t="shared" si="1"/>
        <v>142709763.32313213</v>
      </c>
    </row>
    <row r="114" spans="1:4" x14ac:dyDescent="0.25">
      <c r="A114" s="208">
        <f>Données!A114</f>
        <v>5587</v>
      </c>
      <c r="B114" s="209" t="str">
        <f>Données!B114</f>
        <v>Le Mont-sur-Lausanne</v>
      </c>
      <c r="C114" s="413">
        <f>Données!C114</f>
        <v>9543</v>
      </c>
      <c r="D114" s="414">
        <f t="shared" si="1"/>
        <v>9389874.8001727145</v>
      </c>
    </row>
    <row r="115" spans="1:4" x14ac:dyDescent="0.25">
      <c r="A115" s="208">
        <f>Données!A115</f>
        <v>5588</v>
      </c>
      <c r="B115" s="209" t="str">
        <f>Données!B115</f>
        <v>Paudex</v>
      </c>
      <c r="C115" s="413">
        <f>Données!C115</f>
        <v>1512</v>
      </c>
      <c r="D115" s="414">
        <f t="shared" si="1"/>
        <v>1487738.729735004</v>
      </c>
    </row>
    <row r="116" spans="1:4" x14ac:dyDescent="0.25">
      <c r="A116" s="208">
        <f>Données!A116</f>
        <v>5589</v>
      </c>
      <c r="B116" s="209" t="str">
        <f>Données!B116</f>
        <v>Prilly</v>
      </c>
      <c r="C116" s="413">
        <f>Données!C116</f>
        <v>12766</v>
      </c>
      <c r="D116" s="414">
        <f t="shared" si="1"/>
        <v>12561159.142722925</v>
      </c>
    </row>
    <row r="117" spans="1:4" x14ac:dyDescent="0.25">
      <c r="A117" s="208">
        <f>Données!A117</f>
        <v>5590</v>
      </c>
      <c r="B117" s="209" t="str">
        <f>Données!B117</f>
        <v>Pully</v>
      </c>
      <c r="C117" s="413">
        <f>Données!C117</f>
        <v>19545</v>
      </c>
      <c r="D117" s="414">
        <f t="shared" si="1"/>
        <v>19231384.571872126</v>
      </c>
    </row>
    <row r="118" spans="1:4" x14ac:dyDescent="0.25">
      <c r="A118" s="208">
        <f>Données!A118</f>
        <v>5591</v>
      </c>
      <c r="B118" s="209" t="str">
        <f>Données!B118</f>
        <v>Renens</v>
      </c>
      <c r="C118" s="413">
        <f>Données!C118</f>
        <v>21568</v>
      </c>
      <c r="D118" s="414">
        <f t="shared" si="1"/>
        <v>21221923.890823126</v>
      </c>
    </row>
    <row r="119" spans="1:4" x14ac:dyDescent="0.25">
      <c r="A119" s="208">
        <f>Données!A119</f>
        <v>5592</v>
      </c>
      <c r="B119" s="209" t="str">
        <f>Données!B119</f>
        <v>Romanel-sur-Lausanne</v>
      </c>
      <c r="C119" s="413">
        <f>Données!C119</f>
        <v>4325</v>
      </c>
      <c r="D119" s="414">
        <f t="shared" si="1"/>
        <v>4255601.8558888184</v>
      </c>
    </row>
    <row r="120" spans="1:4" x14ac:dyDescent="0.25">
      <c r="A120" s="208">
        <f>Données!A120</f>
        <v>5601</v>
      </c>
      <c r="B120" s="209" t="str">
        <f>Données!B120</f>
        <v>Chexbres</v>
      </c>
      <c r="C120" s="413">
        <f>Données!C120</f>
        <v>2263</v>
      </c>
      <c r="D120" s="414">
        <f t="shared" si="1"/>
        <v>2226688.3236708427</v>
      </c>
    </row>
    <row r="121" spans="1:4" x14ac:dyDescent="0.25">
      <c r="A121" s="208">
        <f>Données!A121</f>
        <v>5604</v>
      </c>
      <c r="B121" s="209" t="str">
        <f>Données!B121</f>
        <v>Forel (Lavaux)</v>
      </c>
      <c r="C121" s="413">
        <f>Données!C121</f>
        <v>2088</v>
      </c>
      <c r="D121" s="414">
        <f t="shared" si="1"/>
        <v>2054496.3410626247</v>
      </c>
    </row>
    <row r="122" spans="1:4" x14ac:dyDescent="0.25">
      <c r="A122" s="208">
        <f>Données!A122</f>
        <v>5606</v>
      </c>
      <c r="B122" s="209" t="str">
        <f>Données!B122</f>
        <v>Lutry</v>
      </c>
      <c r="C122" s="413">
        <f>Données!C122</f>
        <v>10750</v>
      </c>
      <c r="D122" s="414">
        <f t="shared" si="1"/>
        <v>10577507.503076253</v>
      </c>
    </row>
    <row r="123" spans="1:4" x14ac:dyDescent="0.25">
      <c r="A123" s="208">
        <f>Données!A123</f>
        <v>5607</v>
      </c>
      <c r="B123" s="209" t="str">
        <f>Données!B123</f>
        <v>Puidoux</v>
      </c>
      <c r="C123" s="413">
        <f>Données!C123</f>
        <v>2976</v>
      </c>
      <c r="D123" s="414">
        <f t="shared" si="1"/>
        <v>2928247.6585260397</v>
      </c>
    </row>
    <row r="124" spans="1:4" x14ac:dyDescent="0.25">
      <c r="A124" s="208">
        <f>Données!A124</f>
        <v>5609</v>
      </c>
      <c r="B124" s="209" t="str">
        <f>Données!B124</f>
        <v>Rivaz</v>
      </c>
      <c r="C124" s="413">
        <f>Données!C124</f>
        <v>329</v>
      </c>
      <c r="D124" s="414">
        <f t="shared" si="1"/>
        <v>323720.92730344995</v>
      </c>
    </row>
    <row r="125" spans="1:4" x14ac:dyDescent="0.25">
      <c r="A125" s="208">
        <f>Données!A125</f>
        <v>5610</v>
      </c>
      <c r="B125" s="209" t="str">
        <f>Données!B125</f>
        <v>St-Saphorin (Lavaux)</v>
      </c>
      <c r="C125" s="413">
        <f>Données!C125</f>
        <v>389</v>
      </c>
      <c r="D125" s="414">
        <f t="shared" si="1"/>
        <v>382758.17848341045</v>
      </c>
    </row>
    <row r="126" spans="1:4" x14ac:dyDescent="0.25">
      <c r="A126" s="208">
        <f>Données!A126</f>
        <v>5611</v>
      </c>
      <c r="B126" s="209" t="str">
        <f>Données!B126</f>
        <v>Savigny</v>
      </c>
      <c r="C126" s="413">
        <f>Données!C126</f>
        <v>3506</v>
      </c>
      <c r="D126" s="414">
        <f t="shared" si="1"/>
        <v>3449743.3772823573</v>
      </c>
    </row>
    <row r="127" spans="1:4" x14ac:dyDescent="0.25">
      <c r="A127" s="208">
        <f>Données!A127</f>
        <v>5613</v>
      </c>
      <c r="B127" s="209" t="str">
        <f>Données!B127</f>
        <v>Bourg-en-Lavaux</v>
      </c>
      <c r="C127" s="413">
        <f>Données!C127</f>
        <v>5465</v>
      </c>
      <c r="D127" s="414">
        <f t="shared" si="1"/>
        <v>5377309.6283080671</v>
      </c>
    </row>
    <row r="128" spans="1:4" x14ac:dyDescent="0.25">
      <c r="A128" s="208">
        <f>Données!A128</f>
        <v>5621</v>
      </c>
      <c r="B128" s="209" t="str">
        <f>Données!B128</f>
        <v>Aclens</v>
      </c>
      <c r="C128" s="413">
        <f>Données!C128</f>
        <v>587</v>
      </c>
      <c r="D128" s="414">
        <f t="shared" si="1"/>
        <v>577581.10737728002</v>
      </c>
    </row>
    <row r="129" spans="1:4" x14ac:dyDescent="0.25">
      <c r="A129" s="208">
        <f>Données!A129</f>
        <v>5622</v>
      </c>
      <c r="B129" s="209" t="str">
        <f>Données!B129</f>
        <v>Bremblens</v>
      </c>
      <c r="C129" s="413">
        <f>Données!C129</f>
        <v>615</v>
      </c>
      <c r="D129" s="414">
        <f t="shared" si="1"/>
        <v>605131.82459459489</v>
      </c>
    </row>
    <row r="130" spans="1:4" x14ac:dyDescent="0.25">
      <c r="A130" s="208">
        <f>Données!A130</f>
        <v>5623</v>
      </c>
      <c r="B130" s="209" t="str">
        <f>Données!B130</f>
        <v>Buchillon</v>
      </c>
      <c r="C130" s="413">
        <f>Données!C130</f>
        <v>686</v>
      </c>
      <c r="D130" s="414">
        <f t="shared" si="1"/>
        <v>674992.57182421489</v>
      </c>
    </row>
    <row r="131" spans="1:4" x14ac:dyDescent="0.25">
      <c r="A131" s="208">
        <f>Données!A131</f>
        <v>5624</v>
      </c>
      <c r="B131" s="209" t="str">
        <f>Données!B131</f>
        <v>Bussigny</v>
      </c>
      <c r="C131" s="413">
        <f>Données!C131</f>
        <v>11667</v>
      </c>
      <c r="D131" s="414">
        <f t="shared" si="1"/>
        <v>11479793.491943315</v>
      </c>
    </row>
    <row r="132" spans="1:4" x14ac:dyDescent="0.25">
      <c r="A132" s="208">
        <f>Données!A132</f>
        <v>5627</v>
      </c>
      <c r="B132" s="209" t="str">
        <f>Données!B132</f>
        <v>Chavannes-près-Renens</v>
      </c>
      <c r="C132" s="413">
        <f>Données!C132</f>
        <v>9771</v>
      </c>
      <c r="D132" s="414">
        <f t="shared" si="1"/>
        <v>9614216.3546565641</v>
      </c>
    </row>
    <row r="133" spans="1:4" x14ac:dyDescent="0.25">
      <c r="A133" s="208">
        <f>Données!A133</f>
        <v>5628</v>
      </c>
      <c r="B133" s="209" t="str">
        <f>Données!B133</f>
        <v>Chigny</v>
      </c>
      <c r="C133" s="413">
        <f>Données!C133</f>
        <v>420</v>
      </c>
      <c r="D133" s="414">
        <f t="shared" si="1"/>
        <v>413260.75825972337</v>
      </c>
    </row>
    <row r="134" spans="1:4" x14ac:dyDescent="0.25">
      <c r="A134" s="208">
        <f>Données!A134</f>
        <v>5629</v>
      </c>
      <c r="B134" s="209" t="str">
        <f>Données!B134</f>
        <v>Clarmont</v>
      </c>
      <c r="C134" s="413">
        <f>Données!C134</f>
        <v>228</v>
      </c>
      <c r="D134" s="414">
        <f t="shared" si="1"/>
        <v>224341.55448384982</v>
      </c>
    </row>
    <row r="135" spans="1:4" x14ac:dyDescent="0.25">
      <c r="A135" s="208">
        <f>Données!A135</f>
        <v>5631</v>
      </c>
      <c r="B135" s="209" t="str">
        <f>Données!B135</f>
        <v>Denens</v>
      </c>
      <c r="C135" s="413">
        <f>Données!C135</f>
        <v>742</v>
      </c>
      <c r="D135" s="414">
        <f t="shared" si="1"/>
        <v>730094.00625884463</v>
      </c>
    </row>
    <row r="136" spans="1:4" x14ac:dyDescent="0.25">
      <c r="A136" s="208">
        <f>Données!A136</f>
        <v>5632</v>
      </c>
      <c r="B136" s="209" t="str">
        <f>Données!B136</f>
        <v>Denges</v>
      </c>
      <c r="C136" s="413">
        <f>Données!C136</f>
        <v>1837</v>
      </c>
      <c r="D136" s="414">
        <f t="shared" ref="D136:D199" si="2">$D$4/$C$308*C136</f>
        <v>1807523.8402931234</v>
      </c>
    </row>
    <row r="137" spans="1:4" x14ac:dyDescent="0.25">
      <c r="A137" s="208">
        <f>Données!A137</f>
        <v>5633</v>
      </c>
      <c r="B137" s="209" t="str">
        <f>Données!B137</f>
        <v>Echandens</v>
      </c>
      <c r="C137" s="413">
        <f>Données!C137</f>
        <v>3004</v>
      </c>
      <c r="D137" s="414">
        <f t="shared" si="2"/>
        <v>2955798.3757433547</v>
      </c>
    </row>
    <row r="138" spans="1:4" x14ac:dyDescent="0.25">
      <c r="A138" s="208">
        <f>Données!A138</f>
        <v>5634</v>
      </c>
      <c r="B138" s="209" t="str">
        <f>Données!B138</f>
        <v>Echichens</v>
      </c>
      <c r="C138" s="413">
        <f>Données!C138</f>
        <v>3218</v>
      </c>
      <c r="D138" s="414">
        <f t="shared" si="2"/>
        <v>3166364.5716185472</v>
      </c>
    </row>
    <row r="139" spans="1:4" x14ac:dyDescent="0.25">
      <c r="A139" s="208">
        <f>Données!A139</f>
        <v>5635</v>
      </c>
      <c r="B139" s="209" t="str">
        <f>Données!B139</f>
        <v>Ecublens</v>
      </c>
      <c r="C139" s="413">
        <f>Données!C139</f>
        <v>13391</v>
      </c>
      <c r="D139" s="414">
        <f t="shared" si="2"/>
        <v>13176130.509180848</v>
      </c>
    </row>
    <row r="140" spans="1:4" x14ac:dyDescent="0.25">
      <c r="A140" s="208">
        <f>Données!A140</f>
        <v>5636</v>
      </c>
      <c r="B140" s="209" t="str">
        <f>Données!B140</f>
        <v>Etoy</v>
      </c>
      <c r="C140" s="413">
        <f>Données!C140</f>
        <v>2966</v>
      </c>
      <c r="D140" s="414">
        <f t="shared" si="2"/>
        <v>2918408.1166627132</v>
      </c>
    </row>
    <row r="141" spans="1:4" x14ac:dyDescent="0.25">
      <c r="A141" s="208">
        <f>Données!A141</f>
        <v>5637</v>
      </c>
      <c r="B141" s="209" t="str">
        <f>Données!B141</f>
        <v>Lavigny</v>
      </c>
      <c r="C141" s="413">
        <f>Données!C141</f>
        <v>1100</v>
      </c>
      <c r="D141" s="414">
        <f t="shared" si="2"/>
        <v>1082349.6049659422</v>
      </c>
    </row>
    <row r="142" spans="1:4" x14ac:dyDescent="0.25">
      <c r="A142" s="208">
        <f>Données!A142</f>
        <v>5638</v>
      </c>
      <c r="B142" s="209" t="str">
        <f>Données!B142</f>
        <v>Lonay</v>
      </c>
      <c r="C142" s="413">
        <f>Données!C142</f>
        <v>2733</v>
      </c>
      <c r="D142" s="414">
        <f t="shared" si="2"/>
        <v>2689146.7912471998</v>
      </c>
    </row>
    <row r="143" spans="1:4" x14ac:dyDescent="0.25">
      <c r="A143" s="208">
        <f>Données!A143</f>
        <v>5639</v>
      </c>
      <c r="B143" s="209" t="str">
        <f>Données!B143</f>
        <v>Lully</v>
      </c>
      <c r="C143" s="413">
        <f>Données!C143</f>
        <v>838</v>
      </c>
      <c r="D143" s="414">
        <f t="shared" si="2"/>
        <v>824553.60814678133</v>
      </c>
    </row>
    <row r="144" spans="1:4" x14ac:dyDescent="0.25">
      <c r="A144" s="208">
        <f>Données!A144</f>
        <v>5640</v>
      </c>
      <c r="B144" s="209" t="str">
        <f>Données!B144</f>
        <v>Lussy-sur-Morges</v>
      </c>
      <c r="C144" s="413">
        <f>Données!C144</f>
        <v>719</v>
      </c>
      <c r="D144" s="414">
        <f t="shared" si="2"/>
        <v>707463.0599731931</v>
      </c>
    </row>
    <row r="145" spans="1:4" x14ac:dyDescent="0.25">
      <c r="A145" s="208">
        <f>Données!A145</f>
        <v>5642</v>
      </c>
      <c r="B145" s="209" t="str">
        <f>Données!B145</f>
        <v>Morges</v>
      </c>
      <c r="C145" s="413">
        <f>Données!C145</f>
        <v>17715</v>
      </c>
      <c r="D145" s="414">
        <f t="shared" si="2"/>
        <v>17430748.410883334</v>
      </c>
    </row>
    <row r="146" spans="1:4" x14ac:dyDescent="0.25">
      <c r="A146" s="208">
        <f>Données!A146</f>
        <v>5643</v>
      </c>
      <c r="B146" s="209" t="str">
        <f>Données!B146</f>
        <v>Préverenges</v>
      </c>
      <c r="C146" s="413">
        <f>Données!C146</f>
        <v>5273</v>
      </c>
      <c r="D146" s="414">
        <f t="shared" si="2"/>
        <v>5188390.4245321937</v>
      </c>
    </row>
    <row r="147" spans="1:4" x14ac:dyDescent="0.25">
      <c r="A147" s="208">
        <f>Données!A147</f>
        <v>5645</v>
      </c>
      <c r="B147" s="209" t="str">
        <f>Données!B147</f>
        <v>Romanel-sur-Morges</v>
      </c>
      <c r="C147" s="413">
        <f>Données!C147</f>
        <v>454</v>
      </c>
      <c r="D147" s="414">
        <f t="shared" si="2"/>
        <v>446715.20059503429</v>
      </c>
    </row>
    <row r="148" spans="1:4" x14ac:dyDescent="0.25">
      <c r="A148" s="208">
        <f>Données!A148</f>
        <v>5646</v>
      </c>
      <c r="B148" s="209" t="str">
        <f>Données!B148</f>
        <v>Saint-Prex</v>
      </c>
      <c r="C148" s="413">
        <f>Données!C148</f>
        <v>5868</v>
      </c>
      <c r="D148" s="414">
        <f t="shared" si="2"/>
        <v>5773843.1654001353</v>
      </c>
    </row>
    <row r="149" spans="1:4" x14ac:dyDescent="0.25">
      <c r="A149" s="208">
        <f>Données!A149</f>
        <v>5648</v>
      </c>
      <c r="B149" s="209" t="str">
        <f>Données!B149</f>
        <v>Saint-Sulpice</v>
      </c>
      <c r="C149" s="413">
        <f>Données!C149</f>
        <v>5157</v>
      </c>
      <c r="D149" s="414">
        <f t="shared" si="2"/>
        <v>5074251.7389176032</v>
      </c>
    </row>
    <row r="150" spans="1:4" x14ac:dyDescent="0.25">
      <c r="A150" s="208">
        <f>Données!A150</f>
        <v>5649</v>
      </c>
      <c r="B150" s="209" t="str">
        <f>Données!B150</f>
        <v>Tolochenaz</v>
      </c>
      <c r="C150" s="413">
        <f>Données!C150</f>
        <v>1934</v>
      </c>
      <c r="D150" s="414">
        <f t="shared" si="2"/>
        <v>1902967.3963673927</v>
      </c>
    </row>
    <row r="151" spans="1:4" x14ac:dyDescent="0.25">
      <c r="A151" s="208">
        <f>Données!A151</f>
        <v>5650</v>
      </c>
      <c r="B151" s="209" t="str">
        <f>Données!B151</f>
        <v>Vaux-sur-Morges</v>
      </c>
      <c r="C151" s="413">
        <f>Données!C151</f>
        <v>185</v>
      </c>
      <c r="D151" s="414">
        <f t="shared" si="2"/>
        <v>182031.52447154481</v>
      </c>
    </row>
    <row r="152" spans="1:4" x14ac:dyDescent="0.25">
      <c r="A152" s="208">
        <f>Données!A152</f>
        <v>5651</v>
      </c>
      <c r="B152" s="209" t="str">
        <f>Données!B152</f>
        <v>Villars-Sainte-Croix</v>
      </c>
      <c r="C152" s="413">
        <f>Données!C152</f>
        <v>955</v>
      </c>
      <c r="D152" s="414">
        <f t="shared" si="2"/>
        <v>939676.24794770428</v>
      </c>
    </row>
    <row r="153" spans="1:4" x14ac:dyDescent="0.25">
      <c r="A153" s="208">
        <f>Données!A153</f>
        <v>5652</v>
      </c>
      <c r="B153" s="209" t="str">
        <f>Données!B153</f>
        <v>Villars-sous-Yens</v>
      </c>
      <c r="C153" s="413">
        <f>Données!C153</f>
        <v>602</v>
      </c>
      <c r="D153" s="414">
        <f t="shared" si="2"/>
        <v>592340.42017227015</v>
      </c>
    </row>
    <row r="154" spans="1:4" x14ac:dyDescent="0.25">
      <c r="A154" s="208">
        <f>Données!A154</f>
        <v>5653</v>
      </c>
      <c r="B154" s="209" t="str">
        <f>Données!B154</f>
        <v>Vufflens-le-Château</v>
      </c>
      <c r="C154" s="413">
        <f>Données!C154</f>
        <v>838</v>
      </c>
      <c r="D154" s="414">
        <f t="shared" si="2"/>
        <v>824553.60814678133</v>
      </c>
    </row>
    <row r="155" spans="1:4" x14ac:dyDescent="0.25">
      <c r="A155" s="208">
        <f>Données!A155</f>
        <v>5654</v>
      </c>
      <c r="B155" s="209" t="str">
        <f>Données!B155</f>
        <v>Vullierens</v>
      </c>
      <c r="C155" s="413">
        <f>Données!C155</f>
        <v>548</v>
      </c>
      <c r="D155" s="414">
        <f t="shared" si="2"/>
        <v>539206.8941103057</v>
      </c>
    </row>
    <row r="156" spans="1:4" x14ac:dyDescent="0.25">
      <c r="A156" s="208">
        <f>Données!A156</f>
        <v>5655</v>
      </c>
      <c r="B156" s="209" t="str">
        <f>Données!B156</f>
        <v>Yens</v>
      </c>
      <c r="C156" s="413">
        <f>Données!C156</f>
        <v>1502</v>
      </c>
      <c r="D156" s="414">
        <f t="shared" si="2"/>
        <v>1477899.1878716773</v>
      </c>
    </row>
    <row r="157" spans="1:4" x14ac:dyDescent="0.25">
      <c r="A157" s="208">
        <f>Données!A157</f>
        <v>5656</v>
      </c>
      <c r="B157" s="209" t="str">
        <f>Données!B157</f>
        <v>Hautemorges</v>
      </c>
      <c r="C157" s="413">
        <f>Données!C157</f>
        <v>4387</v>
      </c>
      <c r="D157" s="414">
        <f t="shared" si="2"/>
        <v>4316607.0154414438</v>
      </c>
    </row>
    <row r="158" spans="1:4" x14ac:dyDescent="0.25">
      <c r="A158" s="208">
        <f>Données!A158</f>
        <v>5661</v>
      </c>
      <c r="B158" s="209" t="str">
        <f>Données!B158</f>
        <v>Boulens</v>
      </c>
      <c r="C158" s="413">
        <f>Données!C158</f>
        <v>368</v>
      </c>
      <c r="D158" s="414">
        <f t="shared" si="2"/>
        <v>362095.14057042426</v>
      </c>
    </row>
    <row r="159" spans="1:4" x14ac:dyDescent="0.25">
      <c r="A159" s="208">
        <f>Données!A159</f>
        <v>5663</v>
      </c>
      <c r="B159" s="209" t="str">
        <f>Données!B159</f>
        <v>Bussy-sur-Moudon</v>
      </c>
      <c r="C159" s="413">
        <f>Données!C159</f>
        <v>262</v>
      </c>
      <c r="D159" s="414">
        <f t="shared" si="2"/>
        <v>257795.99681916076</v>
      </c>
    </row>
    <row r="160" spans="1:4" x14ac:dyDescent="0.25">
      <c r="A160" s="208">
        <f>Données!A160</f>
        <v>5665</v>
      </c>
      <c r="B160" s="209" t="str">
        <f>Données!B160</f>
        <v>Chavannes-sur-Moudon</v>
      </c>
      <c r="C160" s="413">
        <f>Données!C160</f>
        <v>229</v>
      </c>
      <c r="D160" s="414">
        <f t="shared" si="2"/>
        <v>225325.50867018249</v>
      </c>
    </row>
    <row r="161" spans="1:4" x14ac:dyDescent="0.25">
      <c r="A161" s="208">
        <f>Données!A161</f>
        <v>5669</v>
      </c>
      <c r="B161" s="209" t="str">
        <f>Données!B161</f>
        <v>Curtilles</v>
      </c>
      <c r="C161" s="413">
        <f>Données!C161</f>
        <v>308</v>
      </c>
      <c r="D161" s="414">
        <f t="shared" si="2"/>
        <v>303057.88939046382</v>
      </c>
    </row>
    <row r="162" spans="1:4" x14ac:dyDescent="0.25">
      <c r="A162" s="208">
        <f>Données!A162</f>
        <v>5671</v>
      </c>
      <c r="B162" s="209" t="str">
        <f>Données!B162</f>
        <v>Dompierre</v>
      </c>
      <c r="C162" s="413">
        <f>Données!C162</f>
        <v>240</v>
      </c>
      <c r="D162" s="414">
        <f t="shared" si="2"/>
        <v>236149.00471984193</v>
      </c>
    </row>
    <row r="163" spans="1:4" x14ac:dyDescent="0.25">
      <c r="A163" s="208">
        <f>Données!A163</f>
        <v>5673</v>
      </c>
      <c r="B163" s="209" t="str">
        <f>Données!B163</f>
        <v>Hermenches</v>
      </c>
      <c r="C163" s="413">
        <f>Données!C163</f>
        <v>373</v>
      </c>
      <c r="D163" s="414">
        <f t="shared" si="2"/>
        <v>367014.91150208766</v>
      </c>
    </row>
    <row r="164" spans="1:4" x14ac:dyDescent="0.25">
      <c r="A164" s="208">
        <f>Données!A164</f>
        <v>5674</v>
      </c>
      <c r="B164" s="209" t="str">
        <f>Données!B164</f>
        <v>Lovatens</v>
      </c>
      <c r="C164" s="413">
        <f>Données!C164</f>
        <v>146</v>
      </c>
      <c r="D164" s="414">
        <f t="shared" si="2"/>
        <v>143657.31120457049</v>
      </c>
    </row>
    <row r="165" spans="1:4" x14ac:dyDescent="0.25">
      <c r="A165" s="208">
        <f>Données!A165</f>
        <v>5675</v>
      </c>
      <c r="B165" s="209" t="str">
        <f>Données!B165</f>
        <v>Lucens</v>
      </c>
      <c r="C165" s="413">
        <f>Données!C165</f>
        <v>4734</v>
      </c>
      <c r="D165" s="414">
        <f t="shared" si="2"/>
        <v>4658039.118098882</v>
      </c>
    </row>
    <row r="166" spans="1:4" x14ac:dyDescent="0.25">
      <c r="A166" s="208">
        <f>Données!A166</f>
        <v>5678</v>
      </c>
      <c r="B166" s="209" t="str">
        <f>Données!B166</f>
        <v>Moudon</v>
      </c>
      <c r="C166" s="413">
        <f>Données!C166</f>
        <v>6651</v>
      </c>
      <c r="D166" s="414">
        <f t="shared" si="2"/>
        <v>6544279.2932986189</v>
      </c>
    </row>
    <row r="167" spans="1:4" x14ac:dyDescent="0.25">
      <c r="A167" s="208">
        <f>Données!A167</f>
        <v>5680</v>
      </c>
      <c r="B167" s="209" t="str">
        <f>Données!B167</f>
        <v>Ogens</v>
      </c>
      <c r="C167" s="413">
        <f>Données!C167</f>
        <v>341</v>
      </c>
      <c r="D167" s="414">
        <f t="shared" si="2"/>
        <v>335528.37753944204</v>
      </c>
    </row>
    <row r="168" spans="1:4" x14ac:dyDescent="0.25">
      <c r="A168" s="208">
        <f>Données!A168</f>
        <v>5683</v>
      </c>
      <c r="B168" s="209" t="str">
        <f>Données!B168</f>
        <v>Prévonloup</v>
      </c>
      <c r="C168" s="413">
        <f>Données!C168</f>
        <v>231</v>
      </c>
      <c r="D168" s="414">
        <f t="shared" si="2"/>
        <v>227293.41704284784</v>
      </c>
    </row>
    <row r="169" spans="1:4" x14ac:dyDescent="0.25">
      <c r="A169" s="208">
        <f>Données!A169</f>
        <v>5684</v>
      </c>
      <c r="B169" s="209" t="str">
        <f>Données!B169</f>
        <v>Rossenges</v>
      </c>
      <c r="C169" s="413">
        <f>Données!C169</f>
        <v>90</v>
      </c>
      <c r="D169" s="414">
        <f t="shared" si="2"/>
        <v>88555.876769940718</v>
      </c>
    </row>
    <row r="170" spans="1:4" x14ac:dyDescent="0.25">
      <c r="A170" s="208">
        <f>Données!A170</f>
        <v>5688</v>
      </c>
      <c r="B170" s="209" t="str">
        <f>Données!B170</f>
        <v>Syens</v>
      </c>
      <c r="C170" s="413">
        <f>Données!C170</f>
        <v>151</v>
      </c>
      <c r="D170" s="414">
        <f t="shared" si="2"/>
        <v>148577.08213623389</v>
      </c>
    </row>
    <row r="171" spans="1:4" x14ac:dyDescent="0.25">
      <c r="A171" s="208">
        <f>Données!A171</f>
        <v>5690</v>
      </c>
      <c r="B171" s="209" t="str">
        <f>Données!B171</f>
        <v>Villars-le-Comte</v>
      </c>
      <c r="C171" s="413">
        <f>Données!C171</f>
        <v>132</v>
      </c>
      <c r="D171" s="414">
        <f t="shared" si="2"/>
        <v>129881.95259591306</v>
      </c>
    </row>
    <row r="172" spans="1:4" x14ac:dyDescent="0.25">
      <c r="A172" s="208">
        <f>Données!A172</f>
        <v>5692</v>
      </c>
      <c r="B172" s="209" t="str">
        <f>Données!B172</f>
        <v>Vucherens</v>
      </c>
      <c r="C172" s="413">
        <f>Données!C172</f>
        <v>622</v>
      </c>
      <c r="D172" s="414">
        <f t="shared" si="2"/>
        <v>612019.50389892363</v>
      </c>
    </row>
    <row r="173" spans="1:4" x14ac:dyDescent="0.25">
      <c r="A173" s="208">
        <f>Données!A173</f>
        <v>5693</v>
      </c>
      <c r="B173" s="209" t="str">
        <f>Données!B173</f>
        <v>Montanaire</v>
      </c>
      <c r="C173" s="413">
        <f>Données!C173</f>
        <v>2861</v>
      </c>
      <c r="D173" s="414">
        <f t="shared" si="2"/>
        <v>2815092.9270977825</v>
      </c>
    </row>
    <row r="174" spans="1:4" x14ac:dyDescent="0.25">
      <c r="A174" s="208">
        <f>Données!A174</f>
        <v>5701</v>
      </c>
      <c r="B174" s="209" t="str">
        <f>Données!B174</f>
        <v>Arnex-sur-Nyon</v>
      </c>
      <c r="C174" s="413">
        <f>Données!C174</f>
        <v>267</v>
      </c>
      <c r="D174" s="414">
        <f t="shared" si="2"/>
        <v>262715.76775082416</v>
      </c>
    </row>
    <row r="175" spans="1:4" x14ac:dyDescent="0.25">
      <c r="A175" s="208">
        <f>Données!A175</f>
        <v>5702</v>
      </c>
      <c r="B175" s="209" t="str">
        <f>Données!B175</f>
        <v>Arzier-Le Muids</v>
      </c>
      <c r="C175" s="413">
        <f>Données!C175</f>
        <v>2968</v>
      </c>
      <c r="D175" s="414">
        <f t="shared" si="2"/>
        <v>2920376.0250353785</v>
      </c>
    </row>
    <row r="176" spans="1:4" x14ac:dyDescent="0.25">
      <c r="A176" s="208">
        <f>Données!A176</f>
        <v>5703</v>
      </c>
      <c r="B176" s="209" t="str">
        <f>Données!B176</f>
        <v>Bassins</v>
      </c>
      <c r="C176" s="413">
        <f>Données!C176</f>
        <v>1484</v>
      </c>
      <c r="D176" s="414">
        <f t="shared" si="2"/>
        <v>1460188.0125176893</v>
      </c>
    </row>
    <row r="177" spans="1:4" x14ac:dyDescent="0.25">
      <c r="A177" s="208">
        <f>Données!A177</f>
        <v>5704</v>
      </c>
      <c r="B177" s="209" t="str">
        <f>Données!B177</f>
        <v>Begnins</v>
      </c>
      <c r="C177" s="413">
        <f>Données!C177</f>
        <v>2041</v>
      </c>
      <c r="D177" s="414">
        <f t="shared" si="2"/>
        <v>2008250.494304989</v>
      </c>
    </row>
    <row r="178" spans="1:4" x14ac:dyDescent="0.25">
      <c r="A178" s="208">
        <f>Données!A178</f>
        <v>5705</v>
      </c>
      <c r="B178" s="209" t="str">
        <f>Données!B178</f>
        <v>Bogis-Bossey</v>
      </c>
      <c r="C178" s="413">
        <f>Données!C178</f>
        <v>990</v>
      </c>
      <c r="D178" s="414">
        <f t="shared" si="2"/>
        <v>974114.6444693479</v>
      </c>
    </row>
    <row r="179" spans="1:4" x14ac:dyDescent="0.25">
      <c r="A179" s="208">
        <f>Données!A179</f>
        <v>5706</v>
      </c>
      <c r="B179" s="209" t="str">
        <f>Données!B179</f>
        <v>Borex</v>
      </c>
      <c r="C179" s="413">
        <f>Données!C179</f>
        <v>1144</v>
      </c>
      <c r="D179" s="414">
        <f t="shared" si="2"/>
        <v>1125643.5891645798</v>
      </c>
    </row>
    <row r="180" spans="1:4" x14ac:dyDescent="0.25">
      <c r="A180" s="208">
        <f>Données!A180</f>
        <v>5707</v>
      </c>
      <c r="B180" s="209" t="str">
        <f>Données!B180</f>
        <v>Chavannes-de-Bogis</v>
      </c>
      <c r="C180" s="413">
        <f>Données!C180</f>
        <v>1388</v>
      </c>
      <c r="D180" s="414">
        <f t="shared" si="2"/>
        <v>1365728.4106297526</v>
      </c>
    </row>
    <row r="181" spans="1:4" x14ac:dyDescent="0.25">
      <c r="A181" s="208">
        <f>Données!A181</f>
        <v>5708</v>
      </c>
      <c r="B181" s="209" t="str">
        <f>Données!B181</f>
        <v>Chavannes-des-Bois</v>
      </c>
      <c r="C181" s="413">
        <f>Données!C181</f>
        <v>982</v>
      </c>
      <c r="D181" s="414">
        <f t="shared" si="2"/>
        <v>966243.01097868651</v>
      </c>
    </row>
    <row r="182" spans="1:4" x14ac:dyDescent="0.25">
      <c r="A182" s="208">
        <f>Données!A182</f>
        <v>5709</v>
      </c>
      <c r="B182" s="209" t="str">
        <f>Données!B182</f>
        <v>Chéserex</v>
      </c>
      <c r="C182" s="413">
        <f>Données!C182</f>
        <v>1277</v>
      </c>
      <c r="D182" s="414">
        <f t="shared" si="2"/>
        <v>1256509.4959468255</v>
      </c>
    </row>
    <row r="183" spans="1:4" x14ac:dyDescent="0.25">
      <c r="A183" s="208">
        <f>Données!A183</f>
        <v>5710</v>
      </c>
      <c r="B183" s="209" t="str">
        <f>Données!B183</f>
        <v>Coinsins</v>
      </c>
      <c r="C183" s="413">
        <f>Données!C183</f>
        <v>517</v>
      </c>
      <c r="D183" s="414">
        <f t="shared" si="2"/>
        <v>508704.31433399284</v>
      </c>
    </row>
    <row r="184" spans="1:4" x14ac:dyDescent="0.25">
      <c r="A184" s="208">
        <f>Données!A184</f>
        <v>5711</v>
      </c>
      <c r="B184" s="209" t="str">
        <f>Données!B184</f>
        <v>Commugny</v>
      </c>
      <c r="C184" s="413">
        <f>Données!C184</f>
        <v>2987</v>
      </c>
      <c r="D184" s="414">
        <f t="shared" si="2"/>
        <v>2939071.1545756995</v>
      </c>
    </row>
    <row r="185" spans="1:4" x14ac:dyDescent="0.25">
      <c r="A185" s="208">
        <f>Données!A185</f>
        <v>5712</v>
      </c>
      <c r="B185" s="209" t="str">
        <f>Données!B185</f>
        <v>Coppet</v>
      </c>
      <c r="C185" s="413">
        <f>Données!C185</f>
        <v>3216</v>
      </c>
      <c r="D185" s="414">
        <f t="shared" si="2"/>
        <v>3164396.6632458819</v>
      </c>
    </row>
    <row r="186" spans="1:4" x14ac:dyDescent="0.25">
      <c r="A186" s="208">
        <f>Données!A186</f>
        <v>5713</v>
      </c>
      <c r="B186" s="209" t="str">
        <f>Données!B186</f>
        <v>Crans</v>
      </c>
      <c r="C186" s="413">
        <f>Données!C186</f>
        <v>2455</v>
      </c>
      <c r="D186" s="414">
        <f t="shared" si="2"/>
        <v>2415607.5274467166</v>
      </c>
    </row>
    <row r="187" spans="1:4" x14ac:dyDescent="0.25">
      <c r="A187" s="208">
        <f>Données!A187</f>
        <v>5714</v>
      </c>
      <c r="B187" s="209" t="str">
        <f>Données!B187</f>
        <v>Crassier</v>
      </c>
      <c r="C187" s="413">
        <f>Données!C187</f>
        <v>1274</v>
      </c>
      <c r="D187" s="414">
        <f t="shared" si="2"/>
        <v>1253557.6333878275</v>
      </c>
    </row>
    <row r="188" spans="1:4" x14ac:dyDescent="0.25">
      <c r="A188" s="208">
        <f>Données!A188</f>
        <v>5715</v>
      </c>
      <c r="B188" s="209" t="str">
        <f>Données!B188</f>
        <v>Duillier</v>
      </c>
      <c r="C188" s="413">
        <f>Données!C188</f>
        <v>1143</v>
      </c>
      <c r="D188" s="414">
        <f t="shared" si="2"/>
        <v>1124659.6349782471</v>
      </c>
    </row>
    <row r="189" spans="1:4" x14ac:dyDescent="0.25">
      <c r="A189" s="208">
        <f>Données!A189</f>
        <v>5716</v>
      </c>
      <c r="B189" s="209" t="str">
        <f>Données!B189</f>
        <v>Eysins</v>
      </c>
      <c r="C189" s="413">
        <f>Données!C189</f>
        <v>1772</v>
      </c>
      <c r="D189" s="414">
        <f t="shared" si="2"/>
        <v>1743566.8181814996</v>
      </c>
    </row>
    <row r="190" spans="1:4" x14ac:dyDescent="0.25">
      <c r="A190" s="208">
        <f>Données!A190</f>
        <v>5717</v>
      </c>
      <c r="B190" s="209" t="str">
        <f>Données!B190</f>
        <v>Founex</v>
      </c>
      <c r="C190" s="413">
        <f>Données!C190</f>
        <v>3748</v>
      </c>
      <c r="D190" s="414">
        <f t="shared" si="2"/>
        <v>3687860.2903748648</v>
      </c>
    </row>
    <row r="191" spans="1:4" x14ac:dyDescent="0.25">
      <c r="A191" s="208">
        <f>Données!A191</f>
        <v>5718</v>
      </c>
      <c r="B191" s="209" t="str">
        <f>Données!B191</f>
        <v>Genolier</v>
      </c>
      <c r="C191" s="413">
        <f>Données!C191</f>
        <v>2012</v>
      </c>
      <c r="D191" s="414">
        <f t="shared" si="2"/>
        <v>1979715.8229013414</v>
      </c>
    </row>
    <row r="192" spans="1:4" x14ac:dyDescent="0.25">
      <c r="A192" s="208">
        <f>Données!A192</f>
        <v>5719</v>
      </c>
      <c r="B192" s="209" t="str">
        <f>Données!B192</f>
        <v>Gingins</v>
      </c>
      <c r="C192" s="413">
        <f>Données!C192</f>
        <v>1253</v>
      </c>
      <c r="D192" s="414">
        <f t="shared" si="2"/>
        <v>1232894.5954748413</v>
      </c>
    </row>
    <row r="193" spans="1:4" x14ac:dyDescent="0.25">
      <c r="A193" s="208">
        <f>Données!A193</f>
        <v>5720</v>
      </c>
      <c r="B193" s="209" t="str">
        <f>Données!B193</f>
        <v>Givrins</v>
      </c>
      <c r="C193" s="413">
        <f>Données!C193</f>
        <v>1071</v>
      </c>
      <c r="D193" s="414">
        <f t="shared" si="2"/>
        <v>1053814.9335622946</v>
      </c>
    </row>
    <row r="194" spans="1:4" x14ac:dyDescent="0.25">
      <c r="A194" s="208">
        <f>Données!A194</f>
        <v>5721</v>
      </c>
      <c r="B194" s="209" t="str">
        <f>Données!B194</f>
        <v>Gland</v>
      </c>
      <c r="C194" s="413">
        <f>Données!C194</f>
        <v>13968</v>
      </c>
      <c r="D194" s="414">
        <f t="shared" si="2"/>
        <v>13743872.074694799</v>
      </c>
    </row>
    <row r="195" spans="1:4" x14ac:dyDescent="0.25">
      <c r="A195" s="208">
        <f>Données!A195</f>
        <v>5722</v>
      </c>
      <c r="B195" s="209" t="str">
        <f>Données!B195</f>
        <v>Grens</v>
      </c>
      <c r="C195" s="413">
        <f>Données!C195</f>
        <v>394</v>
      </c>
      <c r="D195" s="414">
        <f t="shared" si="2"/>
        <v>387677.94941507385</v>
      </c>
    </row>
    <row r="196" spans="1:4" x14ac:dyDescent="0.25">
      <c r="A196" s="208">
        <f>Données!A196</f>
        <v>5723</v>
      </c>
      <c r="B196" s="209" t="str">
        <f>Données!B196</f>
        <v>Mies</v>
      </c>
      <c r="C196" s="413">
        <f>Données!C196</f>
        <v>2163</v>
      </c>
      <c r="D196" s="414">
        <f t="shared" si="2"/>
        <v>2128292.9050375754</v>
      </c>
    </row>
    <row r="197" spans="1:4" x14ac:dyDescent="0.25">
      <c r="A197" s="208">
        <f>Données!A197</f>
        <v>5724</v>
      </c>
      <c r="B197" s="209" t="str">
        <f>Données!B197</f>
        <v>Nyon</v>
      </c>
      <c r="C197" s="413">
        <f>Données!C197</f>
        <v>23328</v>
      </c>
      <c r="D197" s="414">
        <f t="shared" si="2"/>
        <v>22953683.258768637</v>
      </c>
    </row>
    <row r="198" spans="1:4" x14ac:dyDescent="0.25">
      <c r="A198" s="208">
        <f>Données!A198</f>
        <v>5725</v>
      </c>
      <c r="B198" s="209" t="str">
        <f>Données!B198</f>
        <v>Prangins</v>
      </c>
      <c r="C198" s="413">
        <f>Données!C198</f>
        <v>4280</v>
      </c>
      <c r="D198" s="414">
        <f t="shared" si="2"/>
        <v>4211323.9175038477</v>
      </c>
    </row>
    <row r="199" spans="1:4" x14ac:dyDescent="0.25">
      <c r="A199" s="208">
        <f>Données!A199</f>
        <v>5726</v>
      </c>
      <c r="B199" s="209" t="str">
        <f>Données!B199</f>
        <v>La Rippe</v>
      </c>
      <c r="C199" s="413">
        <f>Données!C199</f>
        <v>1194</v>
      </c>
      <c r="D199" s="414">
        <f t="shared" si="2"/>
        <v>1174841.2984812136</v>
      </c>
    </row>
    <row r="200" spans="1:4" x14ac:dyDescent="0.25">
      <c r="A200" s="208">
        <f>Données!A200</f>
        <v>5727</v>
      </c>
      <c r="B200" s="209" t="str">
        <f>Données!B200</f>
        <v>Saint-Cergue</v>
      </c>
      <c r="C200" s="413">
        <f>Données!C200</f>
        <v>3012</v>
      </c>
      <c r="D200" s="414">
        <f t="shared" ref="D200:D263" si="3">$D$4/$C$308*C200</f>
        <v>2963670.0092340163</v>
      </c>
    </row>
    <row r="201" spans="1:4" x14ac:dyDescent="0.25">
      <c r="A201" s="208">
        <f>Données!A201</f>
        <v>5728</v>
      </c>
      <c r="B201" s="209" t="str">
        <f>Données!B201</f>
        <v>Signy-Avenex</v>
      </c>
      <c r="C201" s="413">
        <f>Données!C201</f>
        <v>605</v>
      </c>
      <c r="D201" s="414">
        <f t="shared" si="3"/>
        <v>595292.28273126821</v>
      </c>
    </row>
    <row r="202" spans="1:4" x14ac:dyDescent="0.25">
      <c r="A202" s="208">
        <f>Données!A202</f>
        <v>5729</v>
      </c>
      <c r="B202" s="209" t="str">
        <f>Données!B202</f>
        <v>Tannay</v>
      </c>
      <c r="C202" s="413">
        <f>Données!C202</f>
        <v>1728</v>
      </c>
      <c r="D202" s="414">
        <f t="shared" si="3"/>
        <v>1700272.8339828618</v>
      </c>
    </row>
    <row r="203" spans="1:4" x14ac:dyDescent="0.25">
      <c r="A203" s="208">
        <f>Données!A203</f>
        <v>5730</v>
      </c>
      <c r="B203" s="209" t="str">
        <f>Données!B203</f>
        <v>Trélex</v>
      </c>
      <c r="C203" s="413">
        <f>Données!C203</f>
        <v>1428</v>
      </c>
      <c r="D203" s="414">
        <f t="shared" si="3"/>
        <v>1405086.5780830595</v>
      </c>
    </row>
    <row r="204" spans="1:4" x14ac:dyDescent="0.25">
      <c r="A204" s="208">
        <f>Données!A204</f>
        <v>5731</v>
      </c>
      <c r="B204" s="209" t="str">
        <f>Données!B204</f>
        <v>Le Vaud</v>
      </c>
      <c r="C204" s="413">
        <f>Données!C204</f>
        <v>1374</v>
      </c>
      <c r="D204" s="414">
        <f t="shared" si="3"/>
        <v>1351953.0520210951</v>
      </c>
    </row>
    <row r="205" spans="1:4" x14ac:dyDescent="0.25">
      <c r="A205" s="208">
        <f>Données!A205</f>
        <v>5732</v>
      </c>
      <c r="B205" s="209" t="str">
        <f>Données!B205</f>
        <v>Vich</v>
      </c>
      <c r="C205" s="413">
        <f>Données!C205</f>
        <v>1179</v>
      </c>
      <c r="D205" s="414">
        <f t="shared" si="3"/>
        <v>1160081.9856862235</v>
      </c>
    </row>
    <row r="206" spans="1:4" x14ac:dyDescent="0.25">
      <c r="A206" s="208">
        <f>Données!A206</f>
        <v>5741</v>
      </c>
      <c r="B206" s="209" t="str">
        <f>Données!B206</f>
        <v>L'Abergement</v>
      </c>
      <c r="C206" s="413">
        <f>Données!C206</f>
        <v>270</v>
      </c>
      <c r="D206" s="414">
        <f t="shared" si="3"/>
        <v>265667.63030982215</v>
      </c>
    </row>
    <row r="207" spans="1:4" x14ac:dyDescent="0.25">
      <c r="A207" s="208">
        <f>Données!A207</f>
        <v>5742</v>
      </c>
      <c r="B207" s="209" t="str">
        <f>Données!B207</f>
        <v>Agiez</v>
      </c>
      <c r="C207" s="413">
        <f>Données!C207</f>
        <v>373</v>
      </c>
      <c r="D207" s="414">
        <f t="shared" si="3"/>
        <v>367014.91150208766</v>
      </c>
    </row>
    <row r="208" spans="1:4" x14ac:dyDescent="0.25">
      <c r="A208" s="208">
        <f>Données!A208</f>
        <v>5743</v>
      </c>
      <c r="B208" s="209" t="str">
        <f>Données!B208</f>
        <v>Arnex-sur-Orbe</v>
      </c>
      <c r="C208" s="413">
        <f>Données!C208</f>
        <v>697</v>
      </c>
      <c r="D208" s="414">
        <f t="shared" si="3"/>
        <v>685816.06787387421</v>
      </c>
    </row>
    <row r="209" spans="1:4" x14ac:dyDescent="0.25">
      <c r="A209" s="208">
        <f>Données!A209</f>
        <v>5744</v>
      </c>
      <c r="B209" s="209" t="str">
        <f>Données!B209</f>
        <v>Ballaigues</v>
      </c>
      <c r="C209" s="413">
        <f>Données!C209</f>
        <v>1209</v>
      </c>
      <c r="D209" s="414">
        <f t="shared" si="3"/>
        <v>1189600.6112762038</v>
      </c>
    </row>
    <row r="210" spans="1:4" x14ac:dyDescent="0.25">
      <c r="A210" s="208">
        <f>Données!A210</f>
        <v>5745</v>
      </c>
      <c r="B210" s="209" t="str">
        <f>Données!B210</f>
        <v>Baulmes</v>
      </c>
      <c r="C210" s="413">
        <f>Données!C210</f>
        <v>1168</v>
      </c>
      <c r="D210" s="414">
        <f t="shared" si="3"/>
        <v>1149258.4896365639</v>
      </c>
    </row>
    <row r="211" spans="1:4" x14ac:dyDescent="0.25">
      <c r="A211" s="208">
        <f>Données!A211</f>
        <v>5746</v>
      </c>
      <c r="B211" s="209" t="str">
        <f>Données!B211</f>
        <v>Bavois</v>
      </c>
      <c r="C211" s="413">
        <f>Données!C211</f>
        <v>1041</v>
      </c>
      <c r="D211" s="414">
        <f t="shared" si="3"/>
        <v>1024296.3079723143</v>
      </c>
    </row>
    <row r="212" spans="1:4" x14ac:dyDescent="0.25">
      <c r="A212" s="208">
        <f>Données!A212</f>
        <v>5747</v>
      </c>
      <c r="B212" s="209" t="str">
        <f>Données!B212</f>
        <v>Bofflens</v>
      </c>
      <c r="C212" s="413">
        <f>Données!C212</f>
        <v>200</v>
      </c>
      <c r="D212" s="414">
        <f t="shared" si="3"/>
        <v>196790.83726653495</v>
      </c>
    </row>
    <row r="213" spans="1:4" x14ac:dyDescent="0.25">
      <c r="A213" s="208">
        <f>Données!A213</f>
        <v>5748</v>
      </c>
      <c r="B213" s="209" t="str">
        <f>Données!B213</f>
        <v>Bretonnières</v>
      </c>
      <c r="C213" s="413">
        <f>Données!C213</f>
        <v>261</v>
      </c>
      <c r="D213" s="414">
        <f t="shared" si="3"/>
        <v>256812.04263282809</v>
      </c>
    </row>
    <row r="214" spans="1:4" x14ac:dyDescent="0.25">
      <c r="A214" s="208">
        <f>Données!A214</f>
        <v>5749</v>
      </c>
      <c r="B214" s="209" t="str">
        <f>Données!B214</f>
        <v>Chavornay</v>
      </c>
      <c r="C214" s="413">
        <f>Données!C214</f>
        <v>5442</v>
      </c>
      <c r="D214" s="414">
        <f t="shared" si="3"/>
        <v>5354678.682022416</v>
      </c>
    </row>
    <row r="215" spans="1:4" x14ac:dyDescent="0.25">
      <c r="A215" s="208">
        <f>Données!A215</f>
        <v>5750</v>
      </c>
      <c r="B215" s="209" t="str">
        <f>Données!B215</f>
        <v>Les Clées</v>
      </c>
      <c r="C215" s="413">
        <f>Données!C215</f>
        <v>194</v>
      </c>
      <c r="D215" s="414">
        <f t="shared" si="3"/>
        <v>190887.1121485389</v>
      </c>
    </row>
    <row r="216" spans="1:4" x14ac:dyDescent="0.25">
      <c r="A216" s="208">
        <f>Données!A216</f>
        <v>5752</v>
      </c>
      <c r="B216" s="209" t="str">
        <f>Données!B216</f>
        <v>Croy</v>
      </c>
      <c r="C216" s="413">
        <f>Données!C216</f>
        <v>403</v>
      </c>
      <c r="D216" s="414">
        <f t="shared" si="3"/>
        <v>396533.53709206788</v>
      </c>
    </row>
    <row r="217" spans="1:4" x14ac:dyDescent="0.25">
      <c r="A217" s="208">
        <f>Données!A217</f>
        <v>5754</v>
      </c>
      <c r="B217" s="209" t="str">
        <f>Données!B217</f>
        <v>Juriens</v>
      </c>
      <c r="C217" s="413">
        <f>Données!C217</f>
        <v>348</v>
      </c>
      <c r="D217" s="414">
        <f t="shared" si="3"/>
        <v>342416.05684377078</v>
      </c>
    </row>
    <row r="218" spans="1:4" x14ac:dyDescent="0.25">
      <c r="A218" s="208">
        <f>Données!A218</f>
        <v>5755</v>
      </c>
      <c r="B218" s="209" t="str">
        <f>Données!B218</f>
        <v>Lignerolle</v>
      </c>
      <c r="C218" s="413">
        <f>Données!C218</f>
        <v>463</v>
      </c>
      <c r="D218" s="414">
        <f t="shared" si="3"/>
        <v>455570.78827202838</v>
      </c>
    </row>
    <row r="219" spans="1:4" x14ac:dyDescent="0.25">
      <c r="A219" s="208">
        <f>Données!A219</f>
        <v>5756</v>
      </c>
      <c r="B219" s="209" t="str">
        <f>Données!B219</f>
        <v>Montcherand</v>
      </c>
      <c r="C219" s="413">
        <f>Données!C219</f>
        <v>489</v>
      </c>
      <c r="D219" s="414">
        <f t="shared" si="3"/>
        <v>481153.59711667791</v>
      </c>
    </row>
    <row r="220" spans="1:4" x14ac:dyDescent="0.25">
      <c r="A220" s="208">
        <f>Données!A220</f>
        <v>5757</v>
      </c>
      <c r="B220" s="209" t="str">
        <f>Données!B220</f>
        <v>Orbe</v>
      </c>
      <c r="C220" s="413">
        <f>Données!C220</f>
        <v>7962</v>
      </c>
      <c r="D220" s="414">
        <f t="shared" si="3"/>
        <v>7834243.2315807557</v>
      </c>
    </row>
    <row r="221" spans="1:4" x14ac:dyDescent="0.25">
      <c r="A221" s="208">
        <f>Données!A221</f>
        <v>5758</v>
      </c>
      <c r="B221" s="209" t="str">
        <f>Données!B221</f>
        <v>La Praz</v>
      </c>
      <c r="C221" s="413">
        <f>Données!C221</f>
        <v>207</v>
      </c>
      <c r="D221" s="414">
        <f t="shared" si="3"/>
        <v>203678.51657086366</v>
      </c>
    </row>
    <row r="222" spans="1:4" x14ac:dyDescent="0.25">
      <c r="A222" s="208">
        <f>Données!A222</f>
        <v>5759</v>
      </c>
      <c r="B222" s="209" t="str">
        <f>Données!B222</f>
        <v>Premier</v>
      </c>
      <c r="C222" s="413">
        <f>Données!C222</f>
        <v>228</v>
      </c>
      <c r="D222" s="414">
        <f t="shared" si="3"/>
        <v>224341.55448384982</v>
      </c>
    </row>
    <row r="223" spans="1:4" x14ac:dyDescent="0.25">
      <c r="A223" s="208">
        <f>Données!A223</f>
        <v>5760</v>
      </c>
      <c r="B223" s="209" t="str">
        <f>Données!B223</f>
        <v>Rances</v>
      </c>
      <c r="C223" s="413">
        <f>Données!C223</f>
        <v>508</v>
      </c>
      <c r="D223" s="414">
        <f t="shared" si="3"/>
        <v>499848.72665699874</v>
      </c>
    </row>
    <row r="224" spans="1:4" x14ac:dyDescent="0.25">
      <c r="A224" s="208">
        <f>Données!A224</f>
        <v>5761</v>
      </c>
      <c r="B224" s="209" t="str">
        <f>Données!B224</f>
        <v>Romainmôtier-Envy</v>
      </c>
      <c r="C224" s="413">
        <f>Données!C224</f>
        <v>560</v>
      </c>
      <c r="D224" s="414">
        <f t="shared" si="3"/>
        <v>551014.34434629779</v>
      </c>
    </row>
    <row r="225" spans="1:4" x14ac:dyDescent="0.25">
      <c r="A225" s="208">
        <f>Données!A225</f>
        <v>5762</v>
      </c>
      <c r="B225" s="209" t="str">
        <f>Données!B225</f>
        <v>Sergey</v>
      </c>
      <c r="C225" s="413">
        <f>Données!C225</f>
        <v>133</v>
      </c>
      <c r="D225" s="414">
        <f t="shared" si="3"/>
        <v>130865.90678224573</v>
      </c>
    </row>
    <row r="226" spans="1:4" x14ac:dyDescent="0.25">
      <c r="A226" s="208">
        <f>Données!A226</f>
        <v>5763</v>
      </c>
      <c r="B226" s="209" t="str">
        <f>Données!B226</f>
        <v>Valeyres-sous-Rances</v>
      </c>
      <c r="C226" s="413">
        <f>Données!C226</f>
        <v>583</v>
      </c>
      <c r="D226" s="414">
        <f t="shared" si="3"/>
        <v>573645.29063194932</v>
      </c>
    </row>
    <row r="227" spans="1:4" x14ac:dyDescent="0.25">
      <c r="A227" s="208">
        <f>Données!A227</f>
        <v>5764</v>
      </c>
      <c r="B227" s="209" t="str">
        <f>Données!B227</f>
        <v>Vallorbe</v>
      </c>
      <c r="C227" s="413">
        <f>Données!C227</f>
        <v>4328</v>
      </c>
      <c r="D227" s="414">
        <f t="shared" si="3"/>
        <v>4258553.7184478156</v>
      </c>
    </row>
    <row r="228" spans="1:4" x14ac:dyDescent="0.25">
      <c r="A228" s="208">
        <f>Données!A228</f>
        <v>5765</v>
      </c>
      <c r="B228" s="209" t="str">
        <f>Données!B228</f>
        <v>Vaulion</v>
      </c>
      <c r="C228" s="413">
        <f>Données!C228</f>
        <v>489</v>
      </c>
      <c r="D228" s="414">
        <f t="shared" si="3"/>
        <v>481153.59711667791</v>
      </c>
    </row>
    <row r="229" spans="1:4" x14ac:dyDescent="0.25">
      <c r="A229" s="208">
        <f>Données!A229</f>
        <v>5766</v>
      </c>
      <c r="B229" s="209" t="str">
        <f>Données!B229</f>
        <v>Vuiteboeuf</v>
      </c>
      <c r="C229" s="413">
        <f>Données!C229</f>
        <v>607</v>
      </c>
      <c r="D229" s="414">
        <f t="shared" si="3"/>
        <v>597260.1911039335</v>
      </c>
    </row>
    <row r="230" spans="1:4" x14ac:dyDescent="0.25">
      <c r="A230" s="208">
        <f>Données!A230</f>
        <v>5785</v>
      </c>
      <c r="B230" s="209" t="str">
        <f>Données!B230</f>
        <v>Corcelles-le-Jorat</v>
      </c>
      <c r="C230" s="413">
        <f>Données!C230</f>
        <v>499</v>
      </c>
      <c r="D230" s="414">
        <f t="shared" si="3"/>
        <v>490993.13898000465</v>
      </c>
    </row>
    <row r="231" spans="1:4" x14ac:dyDescent="0.25">
      <c r="A231" s="208">
        <f>Données!A231</f>
        <v>5790</v>
      </c>
      <c r="B231" s="209" t="str">
        <f>Données!B231</f>
        <v>Maracon</v>
      </c>
      <c r="C231" s="413">
        <f>Données!C231</f>
        <v>569</v>
      </c>
      <c r="D231" s="414">
        <f t="shared" si="3"/>
        <v>559869.93202329194</v>
      </c>
    </row>
    <row r="232" spans="1:4" x14ac:dyDescent="0.25">
      <c r="A232" s="208">
        <f>Données!A232</f>
        <v>5792</v>
      </c>
      <c r="B232" s="209" t="str">
        <f>Données!B232</f>
        <v>Montpreveyres</v>
      </c>
      <c r="C232" s="413">
        <f>Données!C232</f>
        <v>653</v>
      </c>
      <c r="D232" s="414">
        <f t="shared" si="3"/>
        <v>642522.08367523656</v>
      </c>
    </row>
    <row r="233" spans="1:4" x14ac:dyDescent="0.25">
      <c r="A233" s="208">
        <f>Données!A233</f>
        <v>5798</v>
      </c>
      <c r="B233" s="209" t="str">
        <f>Données!B233</f>
        <v>Ropraz</v>
      </c>
      <c r="C233" s="413">
        <f>Données!C233</f>
        <v>529</v>
      </c>
      <c r="D233" s="414">
        <f t="shared" si="3"/>
        <v>520511.76456998492</v>
      </c>
    </row>
    <row r="234" spans="1:4" x14ac:dyDescent="0.25">
      <c r="A234" s="208">
        <f>Données!A234</f>
        <v>5799</v>
      </c>
      <c r="B234" s="209" t="str">
        <f>Données!B234</f>
        <v>Servion</v>
      </c>
      <c r="C234" s="413">
        <f>Données!C234</f>
        <v>2228</v>
      </c>
      <c r="D234" s="414">
        <f t="shared" si="3"/>
        <v>2192249.9271491994</v>
      </c>
    </row>
    <row r="235" spans="1:4" x14ac:dyDescent="0.25">
      <c r="A235" s="208">
        <f>Données!A235</f>
        <v>5803</v>
      </c>
      <c r="B235" s="209" t="str">
        <f>Données!B235</f>
        <v>Vulliens</v>
      </c>
      <c r="C235" s="413">
        <f>Données!C235</f>
        <v>628</v>
      </c>
      <c r="D235" s="414">
        <f t="shared" si="3"/>
        <v>617923.22901691974</v>
      </c>
    </row>
    <row r="236" spans="1:4" x14ac:dyDescent="0.25">
      <c r="A236" s="208">
        <f>Données!A236</f>
        <v>5804</v>
      </c>
      <c r="B236" s="209" t="str">
        <f>Données!B236</f>
        <v>Jorat-Menthue</v>
      </c>
      <c r="C236" s="413">
        <f>Données!C236</f>
        <v>1576</v>
      </c>
      <c r="D236" s="414">
        <f t="shared" si="3"/>
        <v>1550711.7976602954</v>
      </c>
    </row>
    <row r="237" spans="1:4" x14ac:dyDescent="0.25">
      <c r="A237" s="208">
        <f>Données!A237</f>
        <v>5805</v>
      </c>
      <c r="B237" s="209" t="str">
        <f>Données!B237</f>
        <v>Oron</v>
      </c>
      <c r="C237" s="413">
        <f>Données!C237</f>
        <v>6345</v>
      </c>
      <c r="D237" s="414">
        <f t="shared" si="3"/>
        <v>6243189.3122808207</v>
      </c>
    </row>
    <row r="238" spans="1:4" x14ac:dyDescent="0.25">
      <c r="A238" s="208">
        <f>Données!A238</f>
        <v>5806</v>
      </c>
      <c r="B238" s="209" t="str">
        <f>Données!B238</f>
        <v>Jorat-Mézières</v>
      </c>
      <c r="C238" s="413">
        <f>Données!C238</f>
        <v>3189</v>
      </c>
      <c r="D238" s="414">
        <f t="shared" si="3"/>
        <v>3137829.9002148993</v>
      </c>
    </row>
    <row r="239" spans="1:4" x14ac:dyDescent="0.25">
      <c r="A239" s="208">
        <f>Données!A239</f>
        <v>5812</v>
      </c>
      <c r="B239" s="209" t="str">
        <f>Données!B239</f>
        <v>Champtauroz</v>
      </c>
      <c r="C239" s="413">
        <f>Données!C239</f>
        <v>196</v>
      </c>
      <c r="D239" s="414">
        <f t="shared" si="3"/>
        <v>192855.02052120425</v>
      </c>
    </row>
    <row r="240" spans="1:4" x14ac:dyDescent="0.25">
      <c r="A240" s="208">
        <f>Données!A240</f>
        <v>5813</v>
      </c>
      <c r="B240" s="209" t="str">
        <f>Données!B240</f>
        <v>Chevroux</v>
      </c>
      <c r="C240" s="413">
        <f>Données!C240</f>
        <v>495</v>
      </c>
      <c r="D240" s="414">
        <f t="shared" si="3"/>
        <v>487057.32223467395</v>
      </c>
    </row>
    <row r="241" spans="1:4" x14ac:dyDescent="0.25">
      <c r="A241" s="208">
        <f>Données!A241</f>
        <v>5816</v>
      </c>
      <c r="B241" s="209" t="str">
        <f>Données!B241</f>
        <v>Corcelles-près-Payerne</v>
      </c>
      <c r="C241" s="413">
        <f>Données!C241</f>
        <v>3004</v>
      </c>
      <c r="D241" s="414">
        <f t="shared" si="3"/>
        <v>2955798.3757433547</v>
      </c>
    </row>
    <row r="242" spans="1:4" x14ac:dyDescent="0.25">
      <c r="A242" s="208">
        <f>Données!A242</f>
        <v>5817</v>
      </c>
      <c r="B242" s="209" t="str">
        <f>Données!B242</f>
        <v>Grandcour</v>
      </c>
      <c r="C242" s="413">
        <f>Données!C242</f>
        <v>983</v>
      </c>
      <c r="D242" s="414">
        <f t="shared" si="3"/>
        <v>967226.96516501927</v>
      </c>
    </row>
    <row r="243" spans="1:4" x14ac:dyDescent="0.25">
      <c r="A243" s="208">
        <f>Données!A243</f>
        <v>5819</v>
      </c>
      <c r="B243" s="209" t="str">
        <f>Données!B243</f>
        <v>Henniez</v>
      </c>
      <c r="C243" s="413">
        <f>Données!C243</f>
        <v>468</v>
      </c>
      <c r="D243" s="414">
        <f t="shared" si="3"/>
        <v>460490.55920369172</v>
      </c>
    </row>
    <row r="244" spans="1:4" x14ac:dyDescent="0.25">
      <c r="A244" s="208">
        <f>Données!A244</f>
        <v>5821</v>
      </c>
      <c r="B244" s="209" t="str">
        <f>Données!B244</f>
        <v>Missy</v>
      </c>
      <c r="C244" s="413">
        <f>Données!C244</f>
        <v>384</v>
      </c>
      <c r="D244" s="414">
        <f t="shared" si="3"/>
        <v>377838.40755174705</v>
      </c>
    </row>
    <row r="245" spans="1:4" x14ac:dyDescent="0.25">
      <c r="A245" s="208">
        <f>Données!A245</f>
        <v>5822</v>
      </c>
      <c r="B245" s="209" t="str">
        <f>Données!B245</f>
        <v>Payerne</v>
      </c>
      <c r="C245" s="413">
        <f>Données!C245</f>
        <v>10802</v>
      </c>
      <c r="D245" s="414">
        <f t="shared" si="3"/>
        <v>10628673.120765552</v>
      </c>
    </row>
    <row r="246" spans="1:4" x14ac:dyDescent="0.25">
      <c r="A246" s="208">
        <f>Données!A246</f>
        <v>5827</v>
      </c>
      <c r="B246" s="209" t="str">
        <f>Données!B246</f>
        <v>Trey</v>
      </c>
      <c r="C246" s="413">
        <f>Données!C246</f>
        <v>318</v>
      </c>
      <c r="D246" s="414">
        <f t="shared" si="3"/>
        <v>312897.43125379056</v>
      </c>
    </row>
    <row r="247" spans="1:4" x14ac:dyDescent="0.25">
      <c r="A247" s="208">
        <f>Données!A247</f>
        <v>5828</v>
      </c>
      <c r="B247" s="209" t="str">
        <f>Données!B247</f>
        <v>Treytorrens (Payerne)</v>
      </c>
      <c r="C247" s="413">
        <f>Données!C247</f>
        <v>109</v>
      </c>
      <c r="D247" s="414">
        <f t="shared" si="3"/>
        <v>107251.00631026154</v>
      </c>
    </row>
    <row r="248" spans="1:4" x14ac:dyDescent="0.25">
      <c r="A248" s="208">
        <f>Données!A248</f>
        <v>5830</v>
      </c>
      <c r="B248" s="209" t="str">
        <f>Données!B248</f>
        <v>Villarzel</v>
      </c>
      <c r="C248" s="413">
        <f>Données!C248</f>
        <v>524</v>
      </c>
      <c r="D248" s="414">
        <f t="shared" si="3"/>
        <v>515591.99363832152</v>
      </c>
    </row>
    <row r="249" spans="1:4" x14ac:dyDescent="0.25">
      <c r="A249" s="208">
        <f>Données!A249</f>
        <v>5831</v>
      </c>
      <c r="B249" s="209" t="str">
        <f>Données!B249</f>
        <v>Valbroye</v>
      </c>
      <c r="C249" s="413">
        <f>Données!C249</f>
        <v>3435</v>
      </c>
      <c r="D249" s="414">
        <f t="shared" si="3"/>
        <v>3379882.6300527374</v>
      </c>
    </row>
    <row r="250" spans="1:4" x14ac:dyDescent="0.25">
      <c r="A250" s="208">
        <f>Données!A250</f>
        <v>5841</v>
      </c>
      <c r="B250" s="209" t="str">
        <f>Données!B250</f>
        <v>Château-d'Oex</v>
      </c>
      <c r="C250" s="413">
        <f>Données!C250</f>
        <v>3656</v>
      </c>
      <c r="D250" s="414">
        <f t="shared" si="3"/>
        <v>3597336.5052322587</v>
      </c>
    </row>
    <row r="251" spans="1:4" x14ac:dyDescent="0.25">
      <c r="A251" s="208">
        <f>Données!A251</f>
        <v>5842</v>
      </c>
      <c r="B251" s="209" t="str">
        <f>Données!B251</f>
        <v>Rossinière</v>
      </c>
      <c r="C251" s="413">
        <f>Données!C251</f>
        <v>499</v>
      </c>
      <c r="D251" s="414">
        <f t="shared" si="3"/>
        <v>490993.13898000465</v>
      </c>
    </row>
    <row r="252" spans="1:4" x14ac:dyDescent="0.25">
      <c r="A252" s="208">
        <f>Données!A252</f>
        <v>5843</v>
      </c>
      <c r="B252" s="209" t="str">
        <f>Données!B252</f>
        <v>Rougemont</v>
      </c>
      <c r="C252" s="413">
        <f>Données!C252</f>
        <v>812</v>
      </c>
      <c r="D252" s="414">
        <f t="shared" si="3"/>
        <v>798970.79930213187</v>
      </c>
    </row>
    <row r="253" spans="1:4" x14ac:dyDescent="0.25">
      <c r="A253" s="208">
        <f>Données!A253</f>
        <v>5851</v>
      </c>
      <c r="B253" s="209" t="str">
        <f>Données!B253</f>
        <v>Allaman</v>
      </c>
      <c r="C253" s="413">
        <f>Données!C253</f>
        <v>430</v>
      </c>
      <c r="D253" s="414">
        <f t="shared" si="3"/>
        <v>423100.30012305011</v>
      </c>
    </row>
    <row r="254" spans="1:4" x14ac:dyDescent="0.25">
      <c r="A254" s="208">
        <f>Données!A254</f>
        <v>5852</v>
      </c>
      <c r="B254" s="209" t="str">
        <f>Données!B254</f>
        <v>Bursinel</v>
      </c>
      <c r="C254" s="413">
        <f>Données!C254</f>
        <v>530</v>
      </c>
      <c r="D254" s="414">
        <f t="shared" si="3"/>
        <v>521495.71875631757</v>
      </c>
    </row>
    <row r="255" spans="1:4" x14ac:dyDescent="0.25">
      <c r="A255" s="208">
        <f>Données!A255</f>
        <v>5853</v>
      </c>
      <c r="B255" s="209" t="str">
        <f>Données!B255</f>
        <v>Bursins</v>
      </c>
      <c r="C255" s="413">
        <f>Données!C255</f>
        <v>825</v>
      </c>
      <c r="D255" s="414">
        <f t="shared" si="3"/>
        <v>811762.2037244566</v>
      </c>
    </row>
    <row r="256" spans="1:4" x14ac:dyDescent="0.25">
      <c r="A256" s="208">
        <f>Données!A256</f>
        <v>5854</v>
      </c>
      <c r="B256" s="209" t="str">
        <f>Données!B256</f>
        <v>Burtigny</v>
      </c>
      <c r="C256" s="413">
        <f>Données!C256</f>
        <v>401</v>
      </c>
      <c r="D256" s="414">
        <f t="shared" si="3"/>
        <v>394565.62871940254</v>
      </c>
    </row>
    <row r="257" spans="1:4" x14ac:dyDescent="0.25">
      <c r="A257" s="208">
        <f>Données!A257</f>
        <v>5855</v>
      </c>
      <c r="B257" s="209" t="str">
        <f>Données!B257</f>
        <v>Dully</v>
      </c>
      <c r="C257" s="413">
        <f>Données!C257</f>
        <v>623</v>
      </c>
      <c r="D257" s="414">
        <f t="shared" si="3"/>
        <v>613003.45808525628</v>
      </c>
    </row>
    <row r="258" spans="1:4" x14ac:dyDescent="0.25">
      <c r="A258" s="208">
        <f>Données!A258</f>
        <v>5856</v>
      </c>
      <c r="B258" s="209" t="str">
        <f>Données!B258</f>
        <v>Essertines-sur-Rolle</v>
      </c>
      <c r="C258" s="413">
        <f>Données!C258</f>
        <v>789</v>
      </c>
      <c r="D258" s="414">
        <f t="shared" si="3"/>
        <v>776339.85301648034</v>
      </c>
    </row>
    <row r="259" spans="1:4" x14ac:dyDescent="0.25">
      <c r="A259" s="208">
        <f>Données!A259</f>
        <v>5857</v>
      </c>
      <c r="B259" s="209" t="str">
        <f>Données!B259</f>
        <v>Gilly</v>
      </c>
      <c r="C259" s="413">
        <f>Données!C259</f>
        <v>1441</v>
      </c>
      <c r="D259" s="414">
        <f t="shared" si="3"/>
        <v>1417877.9825053841</v>
      </c>
    </row>
    <row r="260" spans="1:4" x14ac:dyDescent="0.25">
      <c r="A260" s="208">
        <f>Données!A260</f>
        <v>5858</v>
      </c>
      <c r="B260" s="209" t="str">
        <f>Données!B260</f>
        <v>Luins</v>
      </c>
      <c r="C260" s="413">
        <f>Données!C260</f>
        <v>637</v>
      </c>
      <c r="D260" s="414">
        <f t="shared" si="3"/>
        <v>626778.81669391377</v>
      </c>
    </row>
    <row r="261" spans="1:4" x14ac:dyDescent="0.25">
      <c r="A261" s="208">
        <f>Données!A261</f>
        <v>5859</v>
      </c>
      <c r="B261" s="209" t="str">
        <f>Données!B261</f>
        <v>Mont-sur-Rolle</v>
      </c>
      <c r="C261" s="413">
        <f>Données!C261</f>
        <v>2749</v>
      </c>
      <c r="D261" s="414">
        <f t="shared" si="3"/>
        <v>2704890.0582285225</v>
      </c>
    </row>
    <row r="262" spans="1:4" x14ac:dyDescent="0.25">
      <c r="A262" s="208">
        <f>Données!A262</f>
        <v>5860</v>
      </c>
      <c r="B262" s="209" t="str">
        <f>Données!B262</f>
        <v>Perroy</v>
      </c>
      <c r="C262" s="413">
        <f>Données!C262</f>
        <v>1588</v>
      </c>
      <c r="D262" s="414">
        <f t="shared" si="3"/>
        <v>1562519.2478962874</v>
      </c>
    </row>
    <row r="263" spans="1:4" x14ac:dyDescent="0.25">
      <c r="A263" s="208">
        <f>Données!A263</f>
        <v>5861</v>
      </c>
      <c r="B263" s="209" t="str">
        <f>Données!B263</f>
        <v>Rolle</v>
      </c>
      <c r="C263" s="413">
        <f>Données!C263</f>
        <v>6537</v>
      </c>
      <c r="D263" s="414">
        <f t="shared" si="3"/>
        <v>6432108.5160566941</v>
      </c>
    </row>
    <row r="264" spans="1:4" x14ac:dyDescent="0.25">
      <c r="A264" s="208">
        <f>Données!A264</f>
        <v>5862</v>
      </c>
      <c r="B264" s="209" t="str">
        <f>Données!B264</f>
        <v>Tartegnin</v>
      </c>
      <c r="C264" s="413">
        <f>Données!C264</f>
        <v>238</v>
      </c>
      <c r="D264" s="414">
        <f t="shared" ref="D264:D307" si="4">$D$4/$C$308*C264</f>
        <v>234181.09634717659</v>
      </c>
    </row>
    <row r="265" spans="1:4" x14ac:dyDescent="0.25">
      <c r="A265" s="208">
        <f>Données!A265</f>
        <v>5863</v>
      </c>
      <c r="B265" s="209" t="str">
        <f>Données!B265</f>
        <v>Vinzel</v>
      </c>
      <c r="C265" s="413">
        <f>Données!C265</f>
        <v>387</v>
      </c>
      <c r="D265" s="414">
        <f t="shared" si="4"/>
        <v>380790.2701107451</v>
      </c>
    </row>
    <row r="266" spans="1:4" x14ac:dyDescent="0.25">
      <c r="A266" s="208">
        <f>Données!A266</f>
        <v>5871</v>
      </c>
      <c r="B266" s="209" t="str">
        <f>Données!B266</f>
        <v>L'Abbaye</v>
      </c>
      <c r="C266" s="413">
        <f>Données!C266</f>
        <v>1538</v>
      </c>
      <c r="D266" s="414">
        <f t="shared" si="4"/>
        <v>1513321.5385796537</v>
      </c>
    </row>
    <row r="267" spans="1:4" x14ac:dyDescent="0.25">
      <c r="A267" s="208">
        <f>Données!A267</f>
        <v>5872</v>
      </c>
      <c r="B267" s="209" t="str">
        <f>Données!B267</f>
        <v>Le Chenit</v>
      </c>
      <c r="C267" s="413">
        <f>Données!C267</f>
        <v>4760</v>
      </c>
      <c r="D267" s="414">
        <f t="shared" si="4"/>
        <v>4683621.9269435313</v>
      </c>
    </row>
    <row r="268" spans="1:4" x14ac:dyDescent="0.25">
      <c r="A268" s="208">
        <f>Données!A268</f>
        <v>5873</v>
      </c>
      <c r="B268" s="209" t="str">
        <f>Données!B268</f>
        <v>Le Lieu</v>
      </c>
      <c r="C268" s="413">
        <f>Données!C268</f>
        <v>925</v>
      </c>
      <c r="D268" s="414">
        <f t="shared" si="4"/>
        <v>910157.62235772412</v>
      </c>
    </row>
    <row r="269" spans="1:4" x14ac:dyDescent="0.25">
      <c r="A269" s="208">
        <f>Données!A269</f>
        <v>5882</v>
      </c>
      <c r="B269" s="209" t="str">
        <f>Données!B269</f>
        <v>Chardonne</v>
      </c>
      <c r="C269" s="413">
        <f>Données!C269</f>
        <v>3340</v>
      </c>
      <c r="D269" s="414">
        <f t="shared" si="4"/>
        <v>3286406.9823511336</v>
      </c>
    </row>
    <row r="270" spans="1:4" x14ac:dyDescent="0.25">
      <c r="A270" s="208">
        <f>Données!A270</f>
        <v>5883</v>
      </c>
      <c r="B270" s="209" t="str">
        <f>Données!B270</f>
        <v>Corseaux</v>
      </c>
      <c r="C270" s="413">
        <f>Données!C270</f>
        <v>2322</v>
      </c>
      <c r="D270" s="414">
        <f t="shared" si="4"/>
        <v>2284741.6206644708</v>
      </c>
    </row>
    <row r="271" spans="1:4" x14ac:dyDescent="0.25">
      <c r="A271" s="208">
        <f>Données!A271</f>
        <v>5884</v>
      </c>
      <c r="B271" s="209" t="str">
        <f>Données!B271</f>
        <v>Corsier-sur-Vevey</v>
      </c>
      <c r="C271" s="413">
        <f>Données!C271</f>
        <v>3389</v>
      </c>
      <c r="D271" s="414">
        <f t="shared" si="4"/>
        <v>3334620.7374814344</v>
      </c>
    </row>
    <row r="272" spans="1:4" x14ac:dyDescent="0.25">
      <c r="A272" s="208">
        <f>Données!A272</f>
        <v>5885</v>
      </c>
      <c r="B272" s="209" t="str">
        <f>Données!B272</f>
        <v>Jongny</v>
      </c>
      <c r="C272" s="413">
        <f>Données!C272</f>
        <v>1921</v>
      </c>
      <c r="D272" s="414">
        <f t="shared" si="4"/>
        <v>1890175.9919450681</v>
      </c>
    </row>
    <row r="273" spans="1:4" x14ac:dyDescent="0.25">
      <c r="A273" s="208">
        <f>Données!A273</f>
        <v>5886</v>
      </c>
      <c r="B273" s="209" t="str">
        <f>Données!B273</f>
        <v>Montreux</v>
      </c>
      <c r="C273" s="413">
        <f>Données!C273</f>
        <v>26964</v>
      </c>
      <c r="D273" s="414">
        <f t="shared" si="4"/>
        <v>26531340.680274241</v>
      </c>
    </row>
    <row r="274" spans="1:4" x14ac:dyDescent="0.25">
      <c r="A274" s="208">
        <f>Données!A274</f>
        <v>5889</v>
      </c>
      <c r="B274" s="209" t="str">
        <f>Données!B274</f>
        <v>La Tour-de-Peilz</v>
      </c>
      <c r="C274" s="413">
        <f>Données!C274</f>
        <v>12812</v>
      </c>
      <c r="D274" s="414">
        <f t="shared" si="4"/>
        <v>12606421.035294227</v>
      </c>
    </row>
    <row r="275" spans="1:4" x14ac:dyDescent="0.25">
      <c r="A275" s="208">
        <f>Données!A275</f>
        <v>5890</v>
      </c>
      <c r="B275" s="209" t="str">
        <f>Données!B275</f>
        <v>Vevey</v>
      </c>
      <c r="C275" s="413">
        <f>Données!C275</f>
        <v>20146</v>
      </c>
      <c r="D275" s="414">
        <f t="shared" si="4"/>
        <v>19822741.037858065</v>
      </c>
    </row>
    <row r="276" spans="1:4" x14ac:dyDescent="0.25">
      <c r="A276" s="208">
        <f>Données!A276</f>
        <v>5891</v>
      </c>
      <c r="B276" s="209" t="str">
        <f>Données!B276</f>
        <v>Veytaux</v>
      </c>
      <c r="C276" s="413">
        <f>Données!C276</f>
        <v>1043</v>
      </c>
      <c r="D276" s="414">
        <f t="shared" si="4"/>
        <v>1026264.2163449797</v>
      </c>
    </row>
    <row r="277" spans="1:4" x14ac:dyDescent="0.25">
      <c r="A277" s="208">
        <f>Données!A277</f>
        <v>5892</v>
      </c>
      <c r="B277" s="209" t="str">
        <f>Données!B277</f>
        <v>Blonay-Saint-Légier</v>
      </c>
      <c r="C277" s="413">
        <f>Données!C277</f>
        <v>12463</v>
      </c>
      <c r="D277" s="414">
        <f t="shared" si="4"/>
        <v>12263021.024264125</v>
      </c>
    </row>
    <row r="278" spans="1:4" x14ac:dyDescent="0.25">
      <c r="A278" s="208">
        <f>Données!A278</f>
        <v>5902</v>
      </c>
      <c r="B278" s="209" t="str">
        <f>Données!B278</f>
        <v>Belmont-sur-Yverdon</v>
      </c>
      <c r="C278" s="413">
        <f>Données!C278</f>
        <v>445</v>
      </c>
      <c r="D278" s="414">
        <f t="shared" si="4"/>
        <v>437859.61291804025</v>
      </c>
    </row>
    <row r="279" spans="1:4" x14ac:dyDescent="0.25">
      <c r="A279" s="208">
        <f>Données!A279</f>
        <v>5903</v>
      </c>
      <c r="B279" s="209" t="str">
        <f>Données!B279</f>
        <v>Bioley-Magnoux</v>
      </c>
      <c r="C279" s="413">
        <f>Données!C279</f>
        <v>257</v>
      </c>
      <c r="D279" s="414">
        <f t="shared" si="4"/>
        <v>252876.22588749739</v>
      </c>
    </row>
    <row r="280" spans="1:4" x14ac:dyDescent="0.25">
      <c r="A280" s="208">
        <f>Données!A280</f>
        <v>5904</v>
      </c>
      <c r="B280" s="209" t="str">
        <f>Données!B280</f>
        <v>Chamblon</v>
      </c>
      <c r="C280" s="413">
        <f>Données!C280</f>
        <v>554</v>
      </c>
      <c r="D280" s="414">
        <f t="shared" si="4"/>
        <v>545110.6192283018</v>
      </c>
    </row>
    <row r="281" spans="1:4" x14ac:dyDescent="0.25">
      <c r="A281" s="208">
        <f>Données!A281</f>
        <v>5905</v>
      </c>
      <c r="B281" s="209" t="str">
        <f>Données!B281</f>
        <v>Champvent</v>
      </c>
      <c r="C281" s="413">
        <f>Données!C281</f>
        <v>725</v>
      </c>
      <c r="D281" s="414">
        <f t="shared" si="4"/>
        <v>713366.78509118909</v>
      </c>
    </row>
    <row r="282" spans="1:4" x14ac:dyDescent="0.25">
      <c r="A282" s="208">
        <f>Données!A282</f>
        <v>5907</v>
      </c>
      <c r="B282" s="209" t="str">
        <f>Données!B282</f>
        <v>Chavannes-le-Chêne</v>
      </c>
      <c r="C282" s="413">
        <f>Données!C282</f>
        <v>322</v>
      </c>
      <c r="D282" s="414">
        <f t="shared" si="4"/>
        <v>316833.24799912126</v>
      </c>
    </row>
    <row r="283" spans="1:4" x14ac:dyDescent="0.25">
      <c r="A283" s="208">
        <f>Données!A283</f>
        <v>5908</v>
      </c>
      <c r="B283" s="209" t="str">
        <f>Données!B283</f>
        <v>Chêne-Pâquier</v>
      </c>
      <c r="C283" s="413">
        <f>Données!C283</f>
        <v>173</v>
      </c>
      <c r="D283" s="414">
        <f t="shared" si="4"/>
        <v>170224.07423555272</v>
      </c>
    </row>
    <row r="284" spans="1:4" x14ac:dyDescent="0.25">
      <c r="A284" s="208">
        <f>Données!A284</f>
        <v>5909</v>
      </c>
      <c r="B284" s="209" t="str">
        <f>Données!B284</f>
        <v>Cheseaux-Noréaz</v>
      </c>
      <c r="C284" s="413">
        <f>Données!C284</f>
        <v>734</v>
      </c>
      <c r="D284" s="414">
        <f t="shared" si="4"/>
        <v>722222.37276818324</v>
      </c>
    </row>
    <row r="285" spans="1:4" x14ac:dyDescent="0.25">
      <c r="A285" s="208">
        <f>Données!A285</f>
        <v>5910</v>
      </c>
      <c r="B285" s="209" t="str">
        <f>Données!B285</f>
        <v>Cronay</v>
      </c>
      <c r="C285" s="413">
        <f>Données!C285</f>
        <v>425</v>
      </c>
      <c r="D285" s="414">
        <f t="shared" si="4"/>
        <v>418180.52919138671</v>
      </c>
    </row>
    <row r="286" spans="1:4" x14ac:dyDescent="0.25">
      <c r="A286" s="208">
        <f>Données!A286</f>
        <v>5911</v>
      </c>
      <c r="B286" s="209" t="str">
        <f>Données!B286</f>
        <v>Cuarny</v>
      </c>
      <c r="C286" s="413">
        <f>Données!C286</f>
        <v>241</v>
      </c>
      <c r="D286" s="414">
        <f t="shared" si="4"/>
        <v>237132.95890617461</v>
      </c>
    </row>
    <row r="287" spans="1:4" x14ac:dyDescent="0.25">
      <c r="A287" s="208">
        <f>Données!A287</f>
        <v>5912</v>
      </c>
      <c r="B287" s="209" t="str">
        <f>Données!B287</f>
        <v>Démoret</v>
      </c>
      <c r="C287" s="413">
        <f>Données!C287</f>
        <v>172</v>
      </c>
      <c r="D287" s="414">
        <f t="shared" si="4"/>
        <v>169240.12004922004</v>
      </c>
    </row>
    <row r="288" spans="1:4" x14ac:dyDescent="0.25">
      <c r="A288" s="208">
        <f>Données!A288</f>
        <v>5913</v>
      </c>
      <c r="B288" s="209" t="str">
        <f>Données!B288</f>
        <v>Donneloye</v>
      </c>
      <c r="C288" s="413">
        <f>Données!C288</f>
        <v>917</v>
      </c>
      <c r="D288" s="414">
        <f t="shared" si="4"/>
        <v>902285.98886706273</v>
      </c>
    </row>
    <row r="289" spans="1:4" x14ac:dyDescent="0.25">
      <c r="A289" s="208">
        <f>Données!A289</f>
        <v>5914</v>
      </c>
      <c r="B289" s="209" t="str">
        <f>Données!B289</f>
        <v>Ependes</v>
      </c>
      <c r="C289" s="413">
        <f>Données!C289</f>
        <v>381</v>
      </c>
      <c r="D289" s="414">
        <f t="shared" si="4"/>
        <v>374886.54499274906</v>
      </c>
    </row>
    <row r="290" spans="1:4" x14ac:dyDescent="0.25">
      <c r="A290" s="208">
        <f>Données!A290</f>
        <v>5919</v>
      </c>
      <c r="B290" s="209" t="str">
        <f>Données!B290</f>
        <v>Mathod</v>
      </c>
      <c r="C290" s="413">
        <f>Données!C290</f>
        <v>725</v>
      </c>
      <c r="D290" s="414">
        <f t="shared" si="4"/>
        <v>713366.78509118909</v>
      </c>
    </row>
    <row r="291" spans="1:4" x14ac:dyDescent="0.25">
      <c r="A291" s="208">
        <f>Données!A291</f>
        <v>5921</v>
      </c>
      <c r="B291" s="209" t="str">
        <f>Données!B291</f>
        <v>Molondin</v>
      </c>
      <c r="C291" s="413">
        <f>Données!C291</f>
        <v>269</v>
      </c>
      <c r="D291" s="414">
        <f t="shared" si="4"/>
        <v>264683.67612348951</v>
      </c>
    </row>
    <row r="292" spans="1:4" x14ac:dyDescent="0.25">
      <c r="A292" s="208">
        <f>Données!A292</f>
        <v>5922</v>
      </c>
      <c r="B292" s="209" t="str">
        <f>Données!B292</f>
        <v>Montagny-près-Yverdon</v>
      </c>
      <c r="C292" s="413">
        <f>Données!C292</f>
        <v>783</v>
      </c>
      <c r="D292" s="414">
        <f t="shared" si="4"/>
        <v>770436.12789848424</v>
      </c>
    </row>
    <row r="293" spans="1:4" x14ac:dyDescent="0.25">
      <c r="A293" s="208">
        <f>Données!A293</f>
        <v>5923</v>
      </c>
      <c r="B293" s="209" t="str">
        <f>Données!B293</f>
        <v>Oppens</v>
      </c>
      <c r="C293" s="413">
        <f>Données!C293</f>
        <v>202</v>
      </c>
      <c r="D293" s="414">
        <f t="shared" si="4"/>
        <v>198758.74563920029</v>
      </c>
    </row>
    <row r="294" spans="1:4" x14ac:dyDescent="0.25">
      <c r="A294" s="208">
        <f>Données!A294</f>
        <v>5924</v>
      </c>
      <c r="B294" s="209" t="str">
        <f>Données!B294</f>
        <v>Orges</v>
      </c>
      <c r="C294" s="413">
        <f>Données!C294</f>
        <v>424</v>
      </c>
      <c r="D294" s="414">
        <f t="shared" si="4"/>
        <v>417196.57500505407</v>
      </c>
    </row>
    <row r="295" spans="1:4" x14ac:dyDescent="0.25">
      <c r="A295" s="208">
        <f>Données!A295</f>
        <v>5925</v>
      </c>
      <c r="B295" s="209" t="str">
        <f>Données!B295</f>
        <v>Orzens</v>
      </c>
      <c r="C295" s="413">
        <f>Données!C295</f>
        <v>216</v>
      </c>
      <c r="D295" s="414">
        <f t="shared" si="4"/>
        <v>212534.10424785773</v>
      </c>
    </row>
    <row r="296" spans="1:4" x14ac:dyDescent="0.25">
      <c r="A296" s="208">
        <f>Données!A296</f>
        <v>5926</v>
      </c>
      <c r="B296" s="209" t="str">
        <f>Données!B296</f>
        <v>Pomy</v>
      </c>
      <c r="C296" s="413">
        <f>Données!C296</f>
        <v>877</v>
      </c>
      <c r="D296" s="414">
        <f t="shared" si="4"/>
        <v>862927.82141375565</v>
      </c>
    </row>
    <row r="297" spans="1:4" x14ac:dyDescent="0.25">
      <c r="A297" s="208">
        <f>Données!A297</f>
        <v>5928</v>
      </c>
      <c r="B297" s="209" t="str">
        <f>Données!B297</f>
        <v>Rovray</v>
      </c>
      <c r="C297" s="413">
        <f>Données!C297</f>
        <v>195</v>
      </c>
      <c r="D297" s="414">
        <f t="shared" si="4"/>
        <v>191871.06633487158</v>
      </c>
    </row>
    <row r="298" spans="1:4" x14ac:dyDescent="0.25">
      <c r="A298" s="208">
        <f>Données!A298</f>
        <v>5929</v>
      </c>
      <c r="B298" s="209" t="str">
        <f>Données!B298</f>
        <v>Suchy</v>
      </c>
      <c r="C298" s="413">
        <f>Données!C298</f>
        <v>670</v>
      </c>
      <c r="D298" s="414">
        <f t="shared" si="4"/>
        <v>659249.30484289199</v>
      </c>
    </row>
    <row r="299" spans="1:4" x14ac:dyDescent="0.25">
      <c r="A299" s="208">
        <f>Données!A299</f>
        <v>5930</v>
      </c>
      <c r="B299" s="209" t="str">
        <f>Données!B299</f>
        <v>Suscévaz</v>
      </c>
      <c r="C299" s="413">
        <f>Données!C299</f>
        <v>237</v>
      </c>
      <c r="D299" s="414">
        <f t="shared" si="4"/>
        <v>233197.14216084391</v>
      </c>
    </row>
    <row r="300" spans="1:4" x14ac:dyDescent="0.25">
      <c r="A300" s="208">
        <f>Données!A300</f>
        <v>5931</v>
      </c>
      <c r="B300" s="209" t="str">
        <f>Données!B300</f>
        <v>Treycovagnes</v>
      </c>
      <c r="C300" s="413">
        <f>Données!C300</f>
        <v>513</v>
      </c>
      <c r="D300" s="414">
        <f t="shared" si="4"/>
        <v>504768.49758866214</v>
      </c>
    </row>
    <row r="301" spans="1:4" x14ac:dyDescent="0.25">
      <c r="A301" s="208">
        <f>Données!A301</f>
        <v>5932</v>
      </c>
      <c r="B301" s="209" t="str">
        <f>Données!B301</f>
        <v>Ursins</v>
      </c>
      <c r="C301" s="413">
        <f>Données!C301</f>
        <v>233</v>
      </c>
      <c r="D301" s="414">
        <f t="shared" si="4"/>
        <v>229261.32541551319</v>
      </c>
    </row>
    <row r="302" spans="1:4" x14ac:dyDescent="0.25">
      <c r="A302" s="208">
        <f>Données!A302</f>
        <v>5933</v>
      </c>
      <c r="B302" s="209" t="str">
        <f>Données!B302</f>
        <v>Valeyres-sous-Montagny</v>
      </c>
      <c r="C302" s="413">
        <f>Données!C302</f>
        <v>706</v>
      </c>
      <c r="D302" s="414">
        <f t="shared" si="4"/>
        <v>694671.65555086837</v>
      </c>
    </row>
    <row r="303" spans="1:4" x14ac:dyDescent="0.25">
      <c r="A303" s="208">
        <f>Données!A303</f>
        <v>5934</v>
      </c>
      <c r="B303" s="209" t="str">
        <f>Données!B303</f>
        <v>Valeyres-sous-Ursins</v>
      </c>
      <c r="C303" s="413">
        <f>Données!C303</f>
        <v>236</v>
      </c>
      <c r="D303" s="414">
        <f t="shared" si="4"/>
        <v>232213.18797451124</v>
      </c>
    </row>
    <row r="304" spans="1:4" x14ac:dyDescent="0.25">
      <c r="A304" s="208">
        <f>Données!A304</f>
        <v>5935</v>
      </c>
      <c r="B304" s="209" t="str">
        <f>Données!B304</f>
        <v>Villars-Epeney</v>
      </c>
      <c r="C304" s="413">
        <f>Données!C304</f>
        <v>108</v>
      </c>
      <c r="D304" s="414">
        <f t="shared" si="4"/>
        <v>106267.05212392886</v>
      </c>
    </row>
    <row r="305" spans="1:4" x14ac:dyDescent="0.25">
      <c r="A305" s="208">
        <f>Données!A305</f>
        <v>5937</v>
      </c>
      <c r="B305" s="209" t="str">
        <f>Données!B305</f>
        <v>Vugelles-La Mothe</v>
      </c>
      <c r="C305" s="413">
        <f>Données!C305</f>
        <v>147</v>
      </c>
      <c r="D305" s="414">
        <f t="shared" si="4"/>
        <v>144641.26539090317</v>
      </c>
    </row>
    <row r="306" spans="1:4" x14ac:dyDescent="0.25">
      <c r="A306" s="208">
        <f>Données!A306</f>
        <v>5938</v>
      </c>
      <c r="B306" s="209" t="str">
        <f>Données!B306</f>
        <v>Yverdon-les-Bains</v>
      </c>
      <c r="C306" s="413">
        <f>Données!C306</f>
        <v>30332</v>
      </c>
      <c r="D306" s="414">
        <f t="shared" si="4"/>
        <v>29845298.379842687</v>
      </c>
    </row>
    <row r="307" spans="1:4" x14ac:dyDescent="0.25">
      <c r="A307" s="210">
        <f>Données!A307</f>
        <v>5939</v>
      </c>
      <c r="B307" s="211" t="str">
        <f>Données!B307</f>
        <v>Yvonand</v>
      </c>
      <c r="C307" s="415">
        <f>Données!C307</f>
        <v>3525</v>
      </c>
      <c r="D307" s="416">
        <f t="shared" si="4"/>
        <v>3468438.5068226783</v>
      </c>
    </row>
    <row r="308" spans="1:4" x14ac:dyDescent="0.25">
      <c r="A308" s="2"/>
      <c r="C308" s="398">
        <f>SUM(C8:C307)</f>
        <v>855749</v>
      </c>
      <c r="D308" s="416">
        <f>SUM(D8:D307)</f>
        <v>842017810.99999976</v>
      </c>
    </row>
  </sheetData>
  <sheetProtection sheet="1" objects="1" scenarios="1"/>
  <mergeCells count="2">
    <mergeCell ref="A4:C5"/>
    <mergeCell ref="D4:D5"/>
  </mergeCells>
  <hyperlinks>
    <hyperlink ref="E1" location="'Charges des villes'!A1" display="← Précédent" xr:uid="{F025B369-4AD9-4764-B2C3-5679FA2C3B31}"/>
    <hyperlink ref="F1" location="'Table des matières'!A1" display="Table des matières" xr:uid="{A9BB53F1-1BDF-4BDF-BF24-B3BB569F45F0}"/>
    <hyperlink ref="G1" location="Police!A1" display="Suivant →" xr:uid="{D05B2FB3-DD74-42EB-806E-815737F646A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2EB1-B737-4F1F-8C6C-E600836F3A98}">
  <sheetPr codeName="Feuil12">
    <tabColor rgb="FFFFE6FF"/>
    <pageSetUpPr autoPageBreaks="0"/>
  </sheetPr>
  <dimension ref="A1:V311"/>
  <sheetViews>
    <sheetView zoomScale="90" zoomScaleNormal="90" workbookViewId="0">
      <pane ySplit="7" topLeftCell="A8" activePane="bottomLeft" state="frozen"/>
      <selection pane="bottomLeft"/>
    </sheetView>
  </sheetViews>
  <sheetFormatPr baseColWidth="10" defaultRowHeight="15" x14ac:dyDescent="0.25"/>
  <cols>
    <col min="1" max="1" width="7.140625" style="13" customWidth="1"/>
    <col min="2" max="2" width="23.28515625" style="13" bestFit="1" customWidth="1"/>
    <col min="3" max="3" width="12.85546875" style="13" customWidth="1"/>
    <col min="4" max="11" width="11.42578125" style="4" customWidth="1"/>
    <col min="12" max="12" width="10.7109375" style="13" bestFit="1" customWidth="1"/>
    <col min="13" max="13" width="11.85546875" style="13" customWidth="1"/>
    <col min="14" max="14" width="16" style="13" customWidth="1"/>
    <col min="15" max="15" width="14.28515625" style="13" bestFit="1" customWidth="1"/>
    <col min="16" max="16" width="15.7109375" style="13" customWidth="1"/>
    <col min="17" max="17" width="15.5703125" style="13" bestFit="1" customWidth="1"/>
    <col min="18" max="18" width="16.140625" style="13" bestFit="1" customWidth="1"/>
    <col min="19" max="19" width="21.42578125" style="13" bestFit="1" customWidth="1"/>
    <col min="20" max="20" width="22" style="13" bestFit="1" customWidth="1"/>
    <col min="21" max="21" width="15.5703125" style="13" bestFit="1" customWidth="1"/>
    <col min="22" max="22" width="11" style="13" bestFit="1" customWidth="1"/>
    <col min="23" max="23" width="11.42578125" style="13"/>
    <col min="24" max="25" width="14.7109375" style="13" customWidth="1"/>
    <col min="26" max="16384" width="11.42578125" style="13"/>
  </cols>
  <sheetData>
    <row r="1" spans="1:22" ht="26.25" x14ac:dyDescent="0.4">
      <c r="A1" s="12" t="s">
        <v>33</v>
      </c>
      <c r="C1" s="131" t="s">
        <v>442</v>
      </c>
      <c r="D1" s="133" t="s">
        <v>443</v>
      </c>
      <c r="E1" s="134" t="s">
        <v>444</v>
      </c>
      <c r="F1" s="114"/>
      <c r="L1" s="20"/>
      <c r="M1" s="14"/>
      <c r="N1" s="20"/>
      <c r="O1" s="14"/>
      <c r="P1" s="14"/>
      <c r="Q1" s="470"/>
      <c r="R1" s="20"/>
      <c r="S1" s="20"/>
      <c r="T1" s="20"/>
      <c r="U1" s="20"/>
      <c r="V1" s="20"/>
    </row>
    <row r="2" spans="1:22" ht="15" customHeight="1" x14ac:dyDescent="0.25">
      <c r="A2" s="62" t="str">
        <f>_xlfn.CONCAT(Paramètres!M5," ",Paramètres!N5)</f>
        <v>Décompte prévisionnel 2026</v>
      </c>
      <c r="L2" s="20"/>
      <c r="M2" s="14"/>
      <c r="N2" s="29"/>
      <c r="O2" s="14"/>
      <c r="P2" s="14"/>
      <c r="Q2" s="628" t="s">
        <v>405</v>
      </c>
      <c r="R2" s="629"/>
      <c r="S2" s="630"/>
      <c r="T2" s="275" t="s">
        <v>424</v>
      </c>
      <c r="U2" s="275" t="s">
        <v>21</v>
      </c>
    </row>
    <row r="3" spans="1:22" ht="15" customHeight="1" x14ac:dyDescent="0.25">
      <c r="A3" s="37"/>
      <c r="B3" s="37"/>
      <c r="C3" s="636" t="s">
        <v>50</v>
      </c>
      <c r="D3" s="637"/>
      <c r="E3" s="637"/>
      <c r="F3" s="637"/>
      <c r="G3" s="637"/>
      <c r="H3" s="637"/>
      <c r="I3" s="637"/>
      <c r="J3" s="637"/>
      <c r="K3" s="638"/>
      <c r="L3" s="16"/>
      <c r="M3" s="38"/>
      <c r="N3" s="89"/>
      <c r="O3" s="38"/>
      <c r="P3" s="38"/>
      <c r="Q3" s="633">
        <f>Paramètres!K7</f>
        <v>75383815</v>
      </c>
      <c r="R3" s="634"/>
      <c r="S3" s="635"/>
      <c r="T3" s="95">
        <f>T308</f>
        <v>0</v>
      </c>
      <c r="U3" s="15">
        <f>U308</f>
        <v>75383815.000000015</v>
      </c>
    </row>
    <row r="4" spans="1:22" ht="15" customHeight="1" x14ac:dyDescent="0.25">
      <c r="C4" s="272" t="s">
        <v>22</v>
      </c>
      <c r="D4" s="212">
        <f>Paramètres!N9</f>
        <v>0</v>
      </c>
      <c r="E4" s="212">
        <f>Paramètres!O9</f>
        <v>1000</v>
      </c>
      <c r="F4" s="212">
        <f>Paramètres!P9</f>
        <v>3000</v>
      </c>
      <c r="G4" s="212">
        <f>Paramètres!Q9</f>
        <v>5000</v>
      </c>
      <c r="H4" s="212">
        <f>Paramètres!R9</f>
        <v>12000</v>
      </c>
      <c r="I4" s="212">
        <f>Paramètres!S9</f>
        <v>15000</v>
      </c>
      <c r="J4" s="212">
        <f>Paramètres!T9</f>
        <v>30000</v>
      </c>
      <c r="K4" s="212">
        <f>Paramètres!U9</f>
        <v>45000</v>
      </c>
      <c r="L4" s="26"/>
      <c r="M4" s="38"/>
      <c r="N4" s="88"/>
      <c r="O4" s="38"/>
      <c r="P4" s="78"/>
      <c r="Q4" s="626">
        <f>Paramètres!K8</f>
        <v>0.35</v>
      </c>
      <c r="R4" s="631">
        <f>1-Paramètres!K8</f>
        <v>0.65</v>
      </c>
      <c r="S4" s="632"/>
      <c r="T4" s="88"/>
    </row>
    <row r="5" spans="1:22" ht="15" customHeight="1" x14ac:dyDescent="0.25">
      <c r="C5" s="273" t="s">
        <v>23</v>
      </c>
      <c r="D5" s="212">
        <f>Paramètres!N10</f>
        <v>1000</v>
      </c>
      <c r="E5" s="212">
        <f>Paramètres!O10</f>
        <v>3000</v>
      </c>
      <c r="F5" s="212">
        <f>Paramètres!P10</f>
        <v>5000</v>
      </c>
      <c r="G5" s="212">
        <f>Paramètres!Q10</f>
        <v>12000</v>
      </c>
      <c r="H5" s="212">
        <f>Paramètres!R10</f>
        <v>15000</v>
      </c>
      <c r="I5" s="212">
        <f>Paramètres!S10</f>
        <v>30000</v>
      </c>
      <c r="J5" s="212">
        <f>Paramètres!T10</f>
        <v>45000</v>
      </c>
      <c r="K5" s="212" t="str">
        <f>Paramètres!U10</f>
        <v/>
      </c>
      <c r="L5" s="20"/>
      <c r="M5" s="20"/>
      <c r="N5" s="88"/>
      <c r="O5" s="20"/>
      <c r="P5" s="20"/>
      <c r="Q5" s="627"/>
      <c r="R5" s="215">
        <f>(1-Paramètres!K8)*Paramètres!K9</f>
        <v>0.32500000000000001</v>
      </c>
      <c r="S5" s="215">
        <f>(1-Paramètres!K8)*Paramètres!K10</f>
        <v>0.32500000000000001</v>
      </c>
      <c r="T5" s="88"/>
    </row>
    <row r="6" spans="1:22" ht="15" customHeight="1" x14ac:dyDescent="0.25">
      <c r="C6" s="274" t="s">
        <v>36</v>
      </c>
      <c r="D6" s="213">
        <f>Paramètres!N13</f>
        <v>2</v>
      </c>
      <c r="E6" s="213">
        <f>Paramètres!O13</f>
        <v>3</v>
      </c>
      <c r="F6" s="213">
        <f>Paramètres!P13</f>
        <v>3.5</v>
      </c>
      <c r="G6" s="213">
        <f>Paramètres!Q13</f>
        <v>4</v>
      </c>
      <c r="H6" s="213">
        <f>Paramètres!R13</f>
        <v>5</v>
      </c>
      <c r="I6" s="213">
        <f>Paramètres!S13</f>
        <v>6</v>
      </c>
      <c r="J6" s="213">
        <f>Paramètres!T13</f>
        <v>7</v>
      </c>
      <c r="K6" s="214">
        <f>Paramètres!U13</f>
        <v>8</v>
      </c>
      <c r="N6" s="17"/>
      <c r="Q6" s="15">
        <f>Q4*$Q$3</f>
        <v>26384335.25</v>
      </c>
      <c r="R6" s="36">
        <f>R5*$Q$3</f>
        <v>24499739.875</v>
      </c>
      <c r="S6" s="36">
        <f>S5*$Q$3</f>
        <v>24499739.875</v>
      </c>
      <c r="T6" s="17"/>
    </row>
    <row r="7" spans="1:22" ht="37.5" customHeight="1" x14ac:dyDescent="0.25">
      <c r="A7" s="186" t="s">
        <v>0</v>
      </c>
      <c r="B7" s="186" t="s">
        <v>1</v>
      </c>
      <c r="C7" s="238" t="s">
        <v>29</v>
      </c>
      <c r="D7" s="618" t="s">
        <v>49</v>
      </c>
      <c r="E7" s="619"/>
      <c r="F7" s="619"/>
      <c r="G7" s="619"/>
      <c r="H7" s="619"/>
      <c r="I7" s="619"/>
      <c r="J7" s="619"/>
      <c r="K7" s="620"/>
      <c r="L7" s="275" t="s">
        <v>60</v>
      </c>
      <c r="M7" s="275" t="str">
        <f>_xlfn.CONCAT("Avec police en ",Paramètres!O5)</f>
        <v>Avec police en 2024</v>
      </c>
      <c r="N7" s="276" t="s">
        <v>520</v>
      </c>
      <c r="O7" s="275" t="s">
        <v>61</v>
      </c>
      <c r="P7" s="275" t="s">
        <v>516</v>
      </c>
      <c r="Q7" s="275" t="s">
        <v>62</v>
      </c>
      <c r="R7" s="275" t="s">
        <v>63</v>
      </c>
      <c r="S7" s="275" t="s">
        <v>64</v>
      </c>
      <c r="T7" s="276" t="s">
        <v>421</v>
      </c>
      <c r="U7" s="276" t="s">
        <v>21</v>
      </c>
    </row>
    <row r="8" spans="1:22" x14ac:dyDescent="0.25">
      <c r="A8" s="148">
        <f>Données!A8</f>
        <v>5401</v>
      </c>
      <c r="B8" s="149" t="str">
        <f>Données!B8</f>
        <v>Aigle</v>
      </c>
      <c r="C8" s="392">
        <f>Données!C8</f>
        <v>11780</v>
      </c>
      <c r="D8" s="374">
        <f t="shared" ref="D8" si="0">IF(C8&gt;$D$5,$D$5-$D$4,C8)</f>
        <v>1000</v>
      </c>
      <c r="E8" s="374">
        <f t="shared" ref="E8:J23" si="1">IF($C8&lt;E$4,0,IF($C8&gt;E$5,E$5-E$4,$C8-E$4))</f>
        <v>2000</v>
      </c>
      <c r="F8" s="375">
        <f t="shared" si="1"/>
        <v>2000</v>
      </c>
      <c r="G8" s="376">
        <f t="shared" si="1"/>
        <v>6780</v>
      </c>
      <c r="H8" s="374">
        <f t="shared" si="1"/>
        <v>0</v>
      </c>
      <c r="I8" s="375">
        <f t="shared" si="1"/>
        <v>0</v>
      </c>
      <c r="J8" s="375">
        <f>IF($C8&lt;J$4,0,IF($C8&gt;J$5,J$5-J$4,$C8-J$4))</f>
        <v>0</v>
      </c>
      <c r="K8" s="377">
        <f>IF($C8&lt;K$4,0,$C8-K$4)</f>
        <v>0</v>
      </c>
      <c r="L8" s="394">
        <f>SUMPRODUCT($D$6:$K$6,D8:K8)</f>
        <v>42120</v>
      </c>
      <c r="M8" s="417">
        <f>Données!AE8</f>
        <v>1</v>
      </c>
      <c r="N8" s="385">
        <v>1</v>
      </c>
      <c r="O8" s="418">
        <f t="shared" ref="O8:O71" si="2">IF(N8=0,C8,0)</f>
        <v>0</v>
      </c>
      <c r="P8" s="394">
        <f>IF(N8=0,L8,0)</f>
        <v>0</v>
      </c>
      <c r="Q8" s="419">
        <f t="shared" ref="Q8:Q71" si="3">$Q$6/$C$308*C8</f>
        <v>363199.33677398396</v>
      </c>
      <c r="R8" s="394">
        <f>$R$6/$O$308*O8</f>
        <v>0</v>
      </c>
      <c r="S8" s="393">
        <f>$S$6/$P$308*P8</f>
        <v>0</v>
      </c>
      <c r="T8" s="420">
        <f>IF(M8&gt;N8,-R8-S8,IF(M8&lt;N8,C8*$R$311+L8*$S$311,IF(M8=N8,0,"Erreur")))</f>
        <v>0</v>
      </c>
      <c r="U8" s="421">
        <f>SUM(Q8:T8)</f>
        <v>363199.33677398396</v>
      </c>
    </row>
    <row r="9" spans="1:22" x14ac:dyDescent="0.25">
      <c r="A9" s="148">
        <f>Données!A9</f>
        <v>5402</v>
      </c>
      <c r="B9" s="149" t="str">
        <f>Données!B9</f>
        <v>Bex</v>
      </c>
      <c r="C9" s="392">
        <f>Données!C9</f>
        <v>8806</v>
      </c>
      <c r="D9" s="379">
        <f t="shared" ref="D9:D72" si="4">IF(C9&gt;$D$5,$D$5-$D$4,C9)</f>
        <v>1000</v>
      </c>
      <c r="E9" s="379">
        <f t="shared" si="1"/>
        <v>2000</v>
      </c>
      <c r="F9" s="388">
        <f t="shared" si="1"/>
        <v>2000</v>
      </c>
      <c r="G9" s="378">
        <f t="shared" si="1"/>
        <v>3806</v>
      </c>
      <c r="H9" s="379">
        <f t="shared" si="1"/>
        <v>0</v>
      </c>
      <c r="I9" s="388">
        <f t="shared" si="1"/>
        <v>0</v>
      </c>
      <c r="J9" s="388">
        <f t="shared" si="1"/>
        <v>0</v>
      </c>
      <c r="K9" s="389">
        <f t="shared" ref="K9:K72" si="5">IF($C9&lt;K$4,0,$C9-K$4)</f>
        <v>0</v>
      </c>
      <c r="L9" s="394">
        <f t="shared" ref="L9:L72" si="6">SUMPRODUCT($D$6:$K$6,D9:K9)</f>
        <v>30224</v>
      </c>
      <c r="M9" s="417">
        <f>Données!AE9</f>
        <v>1</v>
      </c>
      <c r="N9" s="394">
        <v>1</v>
      </c>
      <c r="O9" s="418">
        <f t="shared" si="2"/>
        <v>0</v>
      </c>
      <c r="P9" s="394">
        <f t="shared" ref="P9:P72" si="7">IF(N9=0,L9,0)</f>
        <v>0</v>
      </c>
      <c r="Q9" s="419">
        <f t="shared" si="3"/>
        <v>271505.37857654522</v>
      </c>
      <c r="R9" s="394">
        <f t="shared" ref="R9:R71" si="8">$R$6/$O$308*O9</f>
        <v>0</v>
      </c>
      <c r="S9" s="393">
        <f t="shared" ref="S9:S71" si="9">$S$6/$P$308*P9</f>
        <v>0</v>
      </c>
      <c r="T9" s="418">
        <f t="shared" ref="T9:T71" si="10">IF(M9&gt;N9,-R9-S9,IF(M9&lt;N9,C9*$R$311+L9*$S$311,IF(M9=N9,0,"Erreur")))</f>
        <v>0</v>
      </c>
      <c r="U9" s="422">
        <f t="shared" ref="U9:U72" si="11">SUM(Q9:T9)</f>
        <v>271505.37857654522</v>
      </c>
    </row>
    <row r="10" spans="1:22" x14ac:dyDescent="0.25">
      <c r="A10" s="148">
        <f>Données!A10</f>
        <v>5403</v>
      </c>
      <c r="B10" s="149" t="str">
        <f>Données!B10</f>
        <v>Chessel</v>
      </c>
      <c r="C10" s="392">
        <f>Données!C10</f>
        <v>528</v>
      </c>
      <c r="D10" s="379">
        <f t="shared" si="4"/>
        <v>528</v>
      </c>
      <c r="E10" s="379">
        <f t="shared" si="1"/>
        <v>0</v>
      </c>
      <c r="F10" s="388">
        <f t="shared" si="1"/>
        <v>0</v>
      </c>
      <c r="G10" s="378">
        <f t="shared" si="1"/>
        <v>0</v>
      </c>
      <c r="H10" s="379">
        <f t="shared" si="1"/>
        <v>0</v>
      </c>
      <c r="I10" s="388">
        <f t="shared" si="1"/>
        <v>0</v>
      </c>
      <c r="J10" s="388">
        <f t="shared" si="1"/>
        <v>0</v>
      </c>
      <c r="K10" s="389">
        <f t="shared" si="5"/>
        <v>0</v>
      </c>
      <c r="L10" s="394">
        <f t="shared" si="6"/>
        <v>1056</v>
      </c>
      <c r="M10" s="417">
        <f>Données!AE10</f>
        <v>0</v>
      </c>
      <c r="N10" s="394">
        <v>0</v>
      </c>
      <c r="O10" s="418">
        <f t="shared" si="2"/>
        <v>528</v>
      </c>
      <c r="P10" s="394">
        <f t="shared" si="7"/>
        <v>1056</v>
      </c>
      <c r="Q10" s="419">
        <f t="shared" si="3"/>
        <v>16279.223244198942</v>
      </c>
      <c r="R10" s="394">
        <f t="shared" si="8"/>
        <v>35576.103731735289</v>
      </c>
      <c r="S10" s="393">
        <f t="shared" si="9"/>
        <v>26508.594285714284</v>
      </c>
      <c r="T10" s="418">
        <f t="shared" si="10"/>
        <v>0</v>
      </c>
      <c r="U10" s="422">
        <f t="shared" si="11"/>
        <v>78363.921261648517</v>
      </c>
    </row>
    <row r="11" spans="1:22" x14ac:dyDescent="0.25">
      <c r="A11" s="148">
        <f>Données!A11</f>
        <v>5404</v>
      </c>
      <c r="B11" s="149" t="str">
        <f>Données!B11</f>
        <v>Corbeyrier</v>
      </c>
      <c r="C11" s="392">
        <f>Données!C11</f>
        <v>452</v>
      </c>
      <c r="D11" s="379">
        <f t="shared" si="4"/>
        <v>452</v>
      </c>
      <c r="E11" s="379">
        <f t="shared" si="1"/>
        <v>0</v>
      </c>
      <c r="F11" s="388">
        <f t="shared" si="1"/>
        <v>0</v>
      </c>
      <c r="G11" s="378">
        <f t="shared" si="1"/>
        <v>0</v>
      </c>
      <c r="H11" s="379">
        <f t="shared" si="1"/>
        <v>0</v>
      </c>
      <c r="I11" s="388">
        <f t="shared" si="1"/>
        <v>0</v>
      </c>
      <c r="J11" s="388">
        <f t="shared" si="1"/>
        <v>0</v>
      </c>
      <c r="K11" s="389">
        <f t="shared" si="5"/>
        <v>0</v>
      </c>
      <c r="L11" s="394">
        <f t="shared" si="6"/>
        <v>904</v>
      </c>
      <c r="M11" s="417">
        <f>Données!AE11</f>
        <v>0</v>
      </c>
      <c r="N11" s="394">
        <v>0</v>
      </c>
      <c r="O11" s="418">
        <f t="shared" si="2"/>
        <v>452</v>
      </c>
      <c r="P11" s="394">
        <f t="shared" si="7"/>
        <v>904</v>
      </c>
      <c r="Q11" s="419">
        <f t="shared" si="3"/>
        <v>13936.001716624853</v>
      </c>
      <c r="R11" s="394">
        <f t="shared" si="8"/>
        <v>30455.300921864298</v>
      </c>
      <c r="S11" s="393">
        <f t="shared" si="9"/>
        <v>22692.963290043288</v>
      </c>
      <c r="T11" s="418">
        <f t="shared" si="10"/>
        <v>0</v>
      </c>
      <c r="U11" s="422">
        <f t="shared" si="11"/>
        <v>67084.265928532433</v>
      </c>
    </row>
    <row r="12" spans="1:22" x14ac:dyDescent="0.25">
      <c r="A12" s="148">
        <f>Données!A12</f>
        <v>5405</v>
      </c>
      <c r="B12" s="149" t="str">
        <f>Données!B12</f>
        <v>Gryon</v>
      </c>
      <c r="C12" s="392">
        <f>Données!C12</f>
        <v>1525</v>
      </c>
      <c r="D12" s="379">
        <f t="shared" si="4"/>
        <v>1000</v>
      </c>
      <c r="E12" s="379">
        <f t="shared" si="1"/>
        <v>525</v>
      </c>
      <c r="F12" s="388">
        <f t="shared" si="1"/>
        <v>0</v>
      </c>
      <c r="G12" s="378">
        <f t="shared" si="1"/>
        <v>0</v>
      </c>
      <c r="H12" s="379">
        <f t="shared" si="1"/>
        <v>0</v>
      </c>
      <c r="I12" s="388">
        <f t="shared" si="1"/>
        <v>0</v>
      </c>
      <c r="J12" s="388">
        <f t="shared" si="1"/>
        <v>0</v>
      </c>
      <c r="K12" s="389">
        <f t="shared" si="5"/>
        <v>0</v>
      </c>
      <c r="L12" s="394">
        <f t="shared" si="6"/>
        <v>3575</v>
      </c>
      <c r="M12" s="417">
        <f>Données!AE12</f>
        <v>0</v>
      </c>
      <c r="N12" s="394">
        <v>0</v>
      </c>
      <c r="O12" s="418">
        <f t="shared" si="2"/>
        <v>1525</v>
      </c>
      <c r="P12" s="394">
        <f t="shared" si="7"/>
        <v>3575</v>
      </c>
      <c r="Q12" s="419">
        <f t="shared" si="3"/>
        <v>47018.589862506415</v>
      </c>
      <c r="R12" s="394">
        <f t="shared" si="8"/>
        <v>102752.9511191218</v>
      </c>
      <c r="S12" s="393">
        <f t="shared" si="9"/>
        <v>89742.636904761894</v>
      </c>
      <c r="T12" s="418">
        <f t="shared" si="10"/>
        <v>0</v>
      </c>
      <c r="U12" s="422">
        <f t="shared" si="11"/>
        <v>239514.17788639013</v>
      </c>
    </row>
    <row r="13" spans="1:22" x14ac:dyDescent="0.25">
      <c r="A13" s="148">
        <f>Données!A13</f>
        <v>5406</v>
      </c>
      <c r="B13" s="149" t="str">
        <f>Données!B13</f>
        <v>Lavey-Morcles</v>
      </c>
      <c r="C13" s="392">
        <f>Données!C13</f>
        <v>1014</v>
      </c>
      <c r="D13" s="379">
        <f t="shared" si="4"/>
        <v>1000</v>
      </c>
      <c r="E13" s="379">
        <f t="shared" si="1"/>
        <v>14</v>
      </c>
      <c r="F13" s="388">
        <f t="shared" si="1"/>
        <v>0</v>
      </c>
      <c r="G13" s="378">
        <f t="shared" si="1"/>
        <v>0</v>
      </c>
      <c r="H13" s="379">
        <f t="shared" si="1"/>
        <v>0</v>
      </c>
      <c r="I13" s="388">
        <f t="shared" si="1"/>
        <v>0</v>
      </c>
      <c r="J13" s="388">
        <f t="shared" si="1"/>
        <v>0</v>
      </c>
      <c r="K13" s="389">
        <f t="shared" si="5"/>
        <v>0</v>
      </c>
      <c r="L13" s="394">
        <f t="shared" si="6"/>
        <v>2042</v>
      </c>
      <c r="M13" s="417">
        <f>Données!AE13</f>
        <v>0</v>
      </c>
      <c r="N13" s="394">
        <v>0</v>
      </c>
      <c r="O13" s="418">
        <f t="shared" si="2"/>
        <v>1014</v>
      </c>
      <c r="P13" s="394">
        <f t="shared" si="7"/>
        <v>2042</v>
      </c>
      <c r="Q13" s="419">
        <f t="shared" si="3"/>
        <v>31263.508275791151</v>
      </c>
      <c r="R13" s="394">
        <f t="shared" si="8"/>
        <v>68322.290121173442</v>
      </c>
      <c r="S13" s="393">
        <f t="shared" si="9"/>
        <v>51259.990086580081</v>
      </c>
      <c r="T13" s="418">
        <f t="shared" si="10"/>
        <v>0</v>
      </c>
      <c r="U13" s="422">
        <f t="shared" si="11"/>
        <v>150845.78848354466</v>
      </c>
    </row>
    <row r="14" spans="1:22" x14ac:dyDescent="0.25">
      <c r="A14" s="148">
        <f>Données!A14</f>
        <v>5407</v>
      </c>
      <c r="B14" s="149" t="str">
        <f>Données!B14</f>
        <v>Leysin</v>
      </c>
      <c r="C14" s="392">
        <f>Données!C14</f>
        <v>3685</v>
      </c>
      <c r="D14" s="379">
        <f t="shared" si="4"/>
        <v>1000</v>
      </c>
      <c r="E14" s="379">
        <f t="shared" si="1"/>
        <v>2000</v>
      </c>
      <c r="F14" s="388">
        <f t="shared" si="1"/>
        <v>685</v>
      </c>
      <c r="G14" s="378">
        <f t="shared" si="1"/>
        <v>0</v>
      </c>
      <c r="H14" s="379">
        <f t="shared" si="1"/>
        <v>0</v>
      </c>
      <c r="I14" s="388">
        <f t="shared" si="1"/>
        <v>0</v>
      </c>
      <c r="J14" s="388">
        <f t="shared" si="1"/>
        <v>0</v>
      </c>
      <c r="K14" s="389">
        <f t="shared" si="5"/>
        <v>0</v>
      </c>
      <c r="L14" s="394">
        <f t="shared" si="6"/>
        <v>10397.5</v>
      </c>
      <c r="M14" s="417">
        <f>Données!AE14</f>
        <v>0</v>
      </c>
      <c r="N14" s="394">
        <v>0</v>
      </c>
      <c r="O14" s="418">
        <f t="shared" si="2"/>
        <v>3685</v>
      </c>
      <c r="P14" s="394">
        <f t="shared" si="7"/>
        <v>10397.5</v>
      </c>
      <c r="Q14" s="419">
        <f t="shared" si="3"/>
        <v>113615.41222513845</v>
      </c>
      <c r="R14" s="394">
        <f t="shared" si="8"/>
        <v>248291.55729440253</v>
      </c>
      <c r="S14" s="393">
        <f t="shared" si="9"/>
        <v>261006.73208874458</v>
      </c>
      <c r="T14" s="418">
        <f t="shared" si="10"/>
        <v>0</v>
      </c>
      <c r="U14" s="422">
        <f t="shared" si="11"/>
        <v>622913.70160828554</v>
      </c>
    </row>
    <row r="15" spans="1:22" x14ac:dyDescent="0.25">
      <c r="A15" s="148">
        <f>Données!A15</f>
        <v>5408</v>
      </c>
      <c r="B15" s="149" t="str">
        <f>Données!B15</f>
        <v>Noville</v>
      </c>
      <c r="C15" s="392">
        <f>Données!C15</f>
        <v>1208</v>
      </c>
      <c r="D15" s="379">
        <f t="shared" si="4"/>
        <v>1000</v>
      </c>
      <c r="E15" s="379">
        <f t="shared" si="1"/>
        <v>208</v>
      </c>
      <c r="F15" s="388">
        <f t="shared" si="1"/>
        <v>0</v>
      </c>
      <c r="G15" s="378">
        <f t="shared" si="1"/>
        <v>0</v>
      </c>
      <c r="H15" s="379">
        <f t="shared" si="1"/>
        <v>0</v>
      </c>
      <c r="I15" s="388">
        <f t="shared" si="1"/>
        <v>0</v>
      </c>
      <c r="J15" s="388">
        <f t="shared" si="1"/>
        <v>0</v>
      </c>
      <c r="K15" s="389">
        <f t="shared" si="5"/>
        <v>0</v>
      </c>
      <c r="L15" s="394">
        <f t="shared" si="6"/>
        <v>2624</v>
      </c>
      <c r="M15" s="417">
        <f>Données!AE15</f>
        <v>0</v>
      </c>
      <c r="N15" s="394">
        <v>0</v>
      </c>
      <c r="O15" s="418">
        <f t="shared" si="2"/>
        <v>1208</v>
      </c>
      <c r="P15" s="394">
        <f t="shared" si="7"/>
        <v>2624</v>
      </c>
      <c r="Q15" s="419">
        <f t="shared" si="3"/>
        <v>37244.889543546065</v>
      </c>
      <c r="R15" s="394">
        <f t="shared" si="8"/>
        <v>81393.813083212546</v>
      </c>
      <c r="S15" s="393">
        <f t="shared" si="9"/>
        <v>65869.840346320343</v>
      </c>
      <c r="T15" s="418">
        <f t="shared" si="10"/>
        <v>0</v>
      </c>
      <c r="U15" s="422">
        <f t="shared" si="11"/>
        <v>184508.54297307896</v>
      </c>
    </row>
    <row r="16" spans="1:22" x14ac:dyDescent="0.25">
      <c r="A16" s="148">
        <f>Données!A16</f>
        <v>5409</v>
      </c>
      <c r="B16" s="149" t="str">
        <f>Données!B16</f>
        <v>Ollon</v>
      </c>
      <c r="C16" s="392">
        <f>Données!C16</f>
        <v>8222</v>
      </c>
      <c r="D16" s="379">
        <f t="shared" si="4"/>
        <v>1000</v>
      </c>
      <c r="E16" s="379">
        <f t="shared" si="1"/>
        <v>2000</v>
      </c>
      <c r="F16" s="388">
        <f t="shared" si="1"/>
        <v>2000</v>
      </c>
      <c r="G16" s="378">
        <f t="shared" si="1"/>
        <v>3222</v>
      </c>
      <c r="H16" s="379">
        <f t="shared" si="1"/>
        <v>0</v>
      </c>
      <c r="I16" s="388">
        <f t="shared" si="1"/>
        <v>0</v>
      </c>
      <c r="J16" s="388">
        <f t="shared" si="1"/>
        <v>0</v>
      </c>
      <c r="K16" s="389">
        <f t="shared" si="5"/>
        <v>0</v>
      </c>
      <c r="L16" s="394">
        <f t="shared" si="6"/>
        <v>27888</v>
      </c>
      <c r="M16" s="417">
        <f>Données!AE16</f>
        <v>1</v>
      </c>
      <c r="N16" s="394">
        <v>1</v>
      </c>
      <c r="O16" s="418">
        <f t="shared" si="2"/>
        <v>0</v>
      </c>
      <c r="P16" s="394">
        <f t="shared" si="7"/>
        <v>0</v>
      </c>
      <c r="Q16" s="419">
        <f t="shared" si="3"/>
        <v>253499.57104887065</v>
      </c>
      <c r="R16" s="394">
        <f t="shared" si="8"/>
        <v>0</v>
      </c>
      <c r="S16" s="393">
        <f t="shared" si="9"/>
        <v>0</v>
      </c>
      <c r="T16" s="418">
        <f t="shared" si="10"/>
        <v>0</v>
      </c>
      <c r="U16" s="422">
        <f t="shared" si="11"/>
        <v>253499.57104887065</v>
      </c>
    </row>
    <row r="17" spans="1:21" x14ac:dyDescent="0.25">
      <c r="A17" s="148">
        <f>Données!A17</f>
        <v>5410</v>
      </c>
      <c r="B17" s="149" t="str">
        <f>Données!B17</f>
        <v>Ormont-Dessous</v>
      </c>
      <c r="C17" s="392">
        <f>Données!C17</f>
        <v>1244</v>
      </c>
      <c r="D17" s="379">
        <f t="shared" si="4"/>
        <v>1000</v>
      </c>
      <c r="E17" s="379">
        <f t="shared" si="1"/>
        <v>244</v>
      </c>
      <c r="F17" s="388">
        <f t="shared" si="1"/>
        <v>0</v>
      </c>
      <c r="G17" s="378">
        <f t="shared" si="1"/>
        <v>0</v>
      </c>
      <c r="H17" s="379">
        <f t="shared" si="1"/>
        <v>0</v>
      </c>
      <c r="I17" s="388">
        <f t="shared" si="1"/>
        <v>0</v>
      </c>
      <c r="J17" s="388">
        <f t="shared" si="1"/>
        <v>0</v>
      </c>
      <c r="K17" s="389">
        <f t="shared" si="5"/>
        <v>0</v>
      </c>
      <c r="L17" s="394">
        <f t="shared" si="6"/>
        <v>2732</v>
      </c>
      <c r="M17" s="417">
        <f>Données!AE17</f>
        <v>0</v>
      </c>
      <c r="N17" s="394">
        <v>0</v>
      </c>
      <c r="O17" s="418">
        <f t="shared" si="2"/>
        <v>1244</v>
      </c>
      <c r="P17" s="394">
        <f t="shared" si="7"/>
        <v>2732</v>
      </c>
      <c r="Q17" s="419">
        <f t="shared" si="3"/>
        <v>38354.836582923264</v>
      </c>
      <c r="R17" s="394">
        <f t="shared" si="8"/>
        <v>83819.456519467232</v>
      </c>
      <c r="S17" s="393">
        <f t="shared" si="9"/>
        <v>68580.946580086573</v>
      </c>
      <c r="T17" s="418">
        <f t="shared" si="10"/>
        <v>0</v>
      </c>
      <c r="U17" s="422">
        <f t="shared" si="11"/>
        <v>190755.23968247708</v>
      </c>
    </row>
    <row r="18" spans="1:21" x14ac:dyDescent="0.25">
      <c r="A18" s="148">
        <f>Données!A18</f>
        <v>5411</v>
      </c>
      <c r="B18" s="149" t="str">
        <f>Données!B18</f>
        <v>Ormont-Dessus</v>
      </c>
      <c r="C18" s="392">
        <f>Données!C18</f>
        <v>1435</v>
      </c>
      <c r="D18" s="379">
        <f t="shared" si="4"/>
        <v>1000</v>
      </c>
      <c r="E18" s="379">
        <f t="shared" si="1"/>
        <v>435</v>
      </c>
      <c r="F18" s="388">
        <f t="shared" si="1"/>
        <v>0</v>
      </c>
      <c r="G18" s="378">
        <f t="shared" si="1"/>
        <v>0</v>
      </c>
      <c r="H18" s="379">
        <f t="shared" si="1"/>
        <v>0</v>
      </c>
      <c r="I18" s="388">
        <f t="shared" si="1"/>
        <v>0</v>
      </c>
      <c r="J18" s="388">
        <f t="shared" si="1"/>
        <v>0</v>
      </c>
      <c r="K18" s="389">
        <f t="shared" si="5"/>
        <v>0</v>
      </c>
      <c r="L18" s="394">
        <f t="shared" si="6"/>
        <v>3305</v>
      </c>
      <c r="M18" s="417">
        <f>Données!AE18</f>
        <v>0</v>
      </c>
      <c r="N18" s="394">
        <v>0</v>
      </c>
      <c r="O18" s="418">
        <f t="shared" si="2"/>
        <v>1435</v>
      </c>
      <c r="P18" s="394">
        <f t="shared" si="7"/>
        <v>3305</v>
      </c>
      <c r="Q18" s="419">
        <f t="shared" si="3"/>
        <v>44243.722264063414</v>
      </c>
      <c r="R18" s="394">
        <f t="shared" si="8"/>
        <v>96688.842528485111</v>
      </c>
      <c r="S18" s="393">
        <f t="shared" si="9"/>
        <v>82964.871320346312</v>
      </c>
      <c r="T18" s="418">
        <f t="shared" si="10"/>
        <v>0</v>
      </c>
      <c r="U18" s="422">
        <f t="shared" si="11"/>
        <v>223897.43611289485</v>
      </c>
    </row>
    <row r="19" spans="1:21" x14ac:dyDescent="0.25">
      <c r="A19" s="148">
        <f>Données!A19</f>
        <v>5412</v>
      </c>
      <c r="B19" s="149" t="str">
        <f>Données!B19</f>
        <v>Rennaz</v>
      </c>
      <c r="C19" s="392">
        <f>Données!C19</f>
        <v>949</v>
      </c>
      <c r="D19" s="379">
        <f t="shared" si="4"/>
        <v>949</v>
      </c>
      <c r="E19" s="379">
        <f t="shared" si="1"/>
        <v>0</v>
      </c>
      <c r="F19" s="388">
        <f t="shared" si="1"/>
        <v>0</v>
      </c>
      <c r="G19" s="378">
        <f t="shared" si="1"/>
        <v>0</v>
      </c>
      <c r="H19" s="379">
        <f t="shared" si="1"/>
        <v>0</v>
      </c>
      <c r="I19" s="388">
        <f t="shared" si="1"/>
        <v>0</v>
      </c>
      <c r="J19" s="388">
        <f t="shared" si="1"/>
        <v>0</v>
      </c>
      <c r="K19" s="389">
        <f t="shared" si="5"/>
        <v>0</v>
      </c>
      <c r="L19" s="394">
        <f t="shared" si="6"/>
        <v>1898</v>
      </c>
      <c r="M19" s="417">
        <f>Données!AE19</f>
        <v>0</v>
      </c>
      <c r="N19" s="394">
        <v>0</v>
      </c>
      <c r="O19" s="418">
        <f t="shared" si="2"/>
        <v>949</v>
      </c>
      <c r="P19" s="394">
        <f t="shared" si="7"/>
        <v>1898</v>
      </c>
      <c r="Q19" s="419">
        <f t="shared" si="3"/>
        <v>29259.437232471206</v>
      </c>
      <c r="R19" s="394">
        <f t="shared" si="8"/>
        <v>63942.656139046943</v>
      </c>
      <c r="S19" s="393">
        <f t="shared" si="9"/>
        <v>47645.181774891775</v>
      </c>
      <c r="T19" s="418">
        <f t="shared" si="10"/>
        <v>0</v>
      </c>
      <c r="U19" s="422">
        <f t="shared" si="11"/>
        <v>140847.27514640993</v>
      </c>
    </row>
    <row r="20" spans="1:21" x14ac:dyDescent="0.25">
      <c r="A20" s="148">
        <f>Données!A20</f>
        <v>5413</v>
      </c>
      <c r="B20" s="149" t="str">
        <f>Données!B20</f>
        <v>Roche</v>
      </c>
      <c r="C20" s="392">
        <f>Données!C20</f>
        <v>1996</v>
      </c>
      <c r="D20" s="379">
        <f t="shared" si="4"/>
        <v>1000</v>
      </c>
      <c r="E20" s="379">
        <f t="shared" si="1"/>
        <v>996</v>
      </c>
      <c r="F20" s="388">
        <f t="shared" si="1"/>
        <v>0</v>
      </c>
      <c r="G20" s="378">
        <f t="shared" si="1"/>
        <v>0</v>
      </c>
      <c r="H20" s="379">
        <f t="shared" si="1"/>
        <v>0</v>
      </c>
      <c r="I20" s="388">
        <f t="shared" si="1"/>
        <v>0</v>
      </c>
      <c r="J20" s="388">
        <f t="shared" si="1"/>
        <v>0</v>
      </c>
      <c r="K20" s="389">
        <f t="shared" si="5"/>
        <v>0</v>
      </c>
      <c r="L20" s="394">
        <f t="shared" si="6"/>
        <v>4988</v>
      </c>
      <c r="M20" s="417">
        <f>Données!AE20</f>
        <v>0</v>
      </c>
      <c r="N20" s="394">
        <v>0</v>
      </c>
      <c r="O20" s="418">
        <f t="shared" si="2"/>
        <v>1996</v>
      </c>
      <c r="P20" s="394">
        <f t="shared" si="7"/>
        <v>4988</v>
      </c>
      <c r="Q20" s="419">
        <f t="shared" si="3"/>
        <v>61540.396961024788</v>
      </c>
      <c r="R20" s="394">
        <f t="shared" si="8"/>
        <v>134488.45274345385</v>
      </c>
      <c r="S20" s="393">
        <f t="shared" si="9"/>
        <v>125212.94346320345</v>
      </c>
      <c r="T20" s="418">
        <f t="shared" si="10"/>
        <v>0</v>
      </c>
      <c r="U20" s="422">
        <f t="shared" si="11"/>
        <v>321241.79316768207</v>
      </c>
    </row>
    <row r="21" spans="1:21" x14ac:dyDescent="0.25">
      <c r="A21" s="148">
        <f>Données!A21</f>
        <v>5414</v>
      </c>
      <c r="B21" s="149" t="str">
        <f>Données!B21</f>
        <v>Villeneuve</v>
      </c>
      <c r="C21" s="392">
        <f>Données!C21</f>
        <v>6039</v>
      </c>
      <c r="D21" s="379">
        <f t="shared" si="4"/>
        <v>1000</v>
      </c>
      <c r="E21" s="379">
        <f t="shared" si="1"/>
        <v>2000</v>
      </c>
      <c r="F21" s="388">
        <f t="shared" si="1"/>
        <v>2000</v>
      </c>
      <c r="G21" s="378">
        <f t="shared" si="1"/>
        <v>1039</v>
      </c>
      <c r="H21" s="379">
        <f t="shared" si="1"/>
        <v>0</v>
      </c>
      <c r="I21" s="388">
        <f t="shared" si="1"/>
        <v>0</v>
      </c>
      <c r="J21" s="388">
        <f t="shared" si="1"/>
        <v>0</v>
      </c>
      <c r="K21" s="389">
        <f t="shared" si="5"/>
        <v>0</v>
      </c>
      <c r="L21" s="394">
        <f t="shared" si="6"/>
        <v>19156</v>
      </c>
      <c r="M21" s="417">
        <f>Données!AE21</f>
        <v>0</v>
      </c>
      <c r="N21" s="394">
        <v>0</v>
      </c>
      <c r="O21" s="418">
        <f t="shared" si="2"/>
        <v>6039</v>
      </c>
      <c r="P21" s="394">
        <f t="shared" si="7"/>
        <v>19156</v>
      </c>
      <c r="Q21" s="419">
        <f t="shared" si="3"/>
        <v>186193.61585552539</v>
      </c>
      <c r="R21" s="394">
        <f t="shared" si="8"/>
        <v>406901.68643172237</v>
      </c>
      <c r="S21" s="393">
        <f t="shared" si="9"/>
        <v>480869.91679653677</v>
      </c>
      <c r="T21" s="418">
        <f t="shared" si="10"/>
        <v>0</v>
      </c>
      <c r="U21" s="422">
        <f t="shared" si="11"/>
        <v>1073965.2190837846</v>
      </c>
    </row>
    <row r="22" spans="1:21" x14ac:dyDescent="0.25">
      <c r="A22" s="148">
        <f>Données!A22</f>
        <v>5415</v>
      </c>
      <c r="B22" s="149" t="str">
        <f>Données!B22</f>
        <v>Yvorne</v>
      </c>
      <c r="C22" s="392">
        <f>Données!C22</f>
        <v>1110</v>
      </c>
      <c r="D22" s="379">
        <f t="shared" si="4"/>
        <v>1000</v>
      </c>
      <c r="E22" s="379">
        <f t="shared" si="1"/>
        <v>110</v>
      </c>
      <c r="F22" s="388">
        <f t="shared" si="1"/>
        <v>0</v>
      </c>
      <c r="G22" s="378">
        <f t="shared" si="1"/>
        <v>0</v>
      </c>
      <c r="H22" s="379">
        <f t="shared" si="1"/>
        <v>0</v>
      </c>
      <c r="I22" s="388">
        <f t="shared" si="1"/>
        <v>0</v>
      </c>
      <c r="J22" s="388">
        <f t="shared" si="1"/>
        <v>0</v>
      </c>
      <c r="K22" s="389">
        <f t="shared" si="5"/>
        <v>0</v>
      </c>
      <c r="L22" s="394">
        <f t="shared" si="6"/>
        <v>2330</v>
      </c>
      <c r="M22" s="417">
        <f>Données!AE22</f>
        <v>0</v>
      </c>
      <c r="N22" s="394">
        <v>0</v>
      </c>
      <c r="O22" s="418">
        <f t="shared" si="2"/>
        <v>1110</v>
      </c>
      <c r="P22" s="394">
        <f t="shared" si="7"/>
        <v>2330</v>
      </c>
      <c r="Q22" s="419">
        <f t="shared" si="3"/>
        <v>34223.367047463682</v>
      </c>
      <c r="R22" s="394">
        <f t="shared" si="8"/>
        <v>74790.672617852586</v>
      </c>
      <c r="S22" s="393">
        <f t="shared" si="9"/>
        <v>58489.606709956708</v>
      </c>
      <c r="T22" s="418">
        <f t="shared" si="10"/>
        <v>0</v>
      </c>
      <c r="U22" s="422">
        <f t="shared" si="11"/>
        <v>167503.64637527298</v>
      </c>
    </row>
    <row r="23" spans="1:21" x14ac:dyDescent="0.25">
      <c r="A23" s="148">
        <f>Données!A23</f>
        <v>5422</v>
      </c>
      <c r="B23" s="149" t="str">
        <f>Données!B23</f>
        <v>Aubonne</v>
      </c>
      <c r="C23" s="392">
        <f>Données!C23</f>
        <v>3862</v>
      </c>
      <c r="D23" s="379">
        <f t="shared" si="4"/>
        <v>1000</v>
      </c>
      <c r="E23" s="379">
        <f t="shared" si="1"/>
        <v>2000</v>
      </c>
      <c r="F23" s="388">
        <f t="shared" si="1"/>
        <v>862</v>
      </c>
      <c r="G23" s="378">
        <f t="shared" si="1"/>
        <v>0</v>
      </c>
      <c r="H23" s="379">
        <f t="shared" si="1"/>
        <v>0</v>
      </c>
      <c r="I23" s="388">
        <f t="shared" si="1"/>
        <v>0</v>
      </c>
      <c r="J23" s="388">
        <f t="shared" si="1"/>
        <v>0</v>
      </c>
      <c r="K23" s="389">
        <f t="shared" si="5"/>
        <v>0</v>
      </c>
      <c r="L23" s="394">
        <f t="shared" si="6"/>
        <v>11017</v>
      </c>
      <c r="M23" s="417">
        <f>Données!AE23</f>
        <v>0</v>
      </c>
      <c r="N23" s="394">
        <v>0</v>
      </c>
      <c r="O23" s="418">
        <f t="shared" si="2"/>
        <v>3862</v>
      </c>
      <c r="P23" s="394">
        <f t="shared" si="7"/>
        <v>11017</v>
      </c>
      <c r="Q23" s="419">
        <f t="shared" si="3"/>
        <v>119072.65183540969</v>
      </c>
      <c r="R23" s="394">
        <f t="shared" si="8"/>
        <v>260217.6375226547</v>
      </c>
      <c r="S23" s="393">
        <f t="shared" si="9"/>
        <v>276557.93867965369</v>
      </c>
      <c r="T23" s="418">
        <f t="shared" si="10"/>
        <v>0</v>
      </c>
      <c r="U23" s="422">
        <f t="shared" si="11"/>
        <v>655848.2280377181</v>
      </c>
    </row>
    <row r="24" spans="1:21" x14ac:dyDescent="0.25">
      <c r="A24" s="148">
        <f>Données!A24</f>
        <v>5423</v>
      </c>
      <c r="B24" s="149" t="str">
        <f>Données!B24</f>
        <v>Ballens</v>
      </c>
      <c r="C24" s="392">
        <f>Données!C24</f>
        <v>579</v>
      </c>
      <c r="D24" s="379">
        <f t="shared" si="4"/>
        <v>579</v>
      </c>
      <c r="E24" s="379">
        <f t="shared" ref="E24:J66" si="12">IF($C24&lt;E$4,0,IF($C24&gt;E$5,E$5-E$4,$C24-E$4))</f>
        <v>0</v>
      </c>
      <c r="F24" s="388">
        <f t="shared" si="12"/>
        <v>0</v>
      </c>
      <c r="G24" s="378">
        <f t="shared" si="12"/>
        <v>0</v>
      </c>
      <c r="H24" s="379">
        <f t="shared" si="12"/>
        <v>0</v>
      </c>
      <c r="I24" s="388">
        <f t="shared" si="12"/>
        <v>0</v>
      </c>
      <c r="J24" s="388">
        <f t="shared" si="12"/>
        <v>0</v>
      </c>
      <c r="K24" s="389">
        <f t="shared" si="5"/>
        <v>0</v>
      </c>
      <c r="L24" s="394">
        <f t="shared" si="6"/>
        <v>1158</v>
      </c>
      <c r="M24" s="417">
        <f>Données!AE24</f>
        <v>0</v>
      </c>
      <c r="N24" s="394">
        <v>0</v>
      </c>
      <c r="O24" s="418">
        <f t="shared" si="2"/>
        <v>579</v>
      </c>
      <c r="P24" s="394">
        <f t="shared" si="7"/>
        <v>1158</v>
      </c>
      <c r="Q24" s="419">
        <f t="shared" si="3"/>
        <v>17851.648216649977</v>
      </c>
      <c r="R24" s="394">
        <f t="shared" si="8"/>
        <v>39012.431933096079</v>
      </c>
      <c r="S24" s="393">
        <f t="shared" si="9"/>
        <v>29069.083506493505</v>
      </c>
      <c r="T24" s="418">
        <f t="shared" si="10"/>
        <v>0</v>
      </c>
      <c r="U24" s="422">
        <f t="shared" si="11"/>
        <v>85933.163656239558</v>
      </c>
    </row>
    <row r="25" spans="1:21" x14ac:dyDescent="0.25">
      <c r="A25" s="148">
        <f>Données!A25</f>
        <v>5424</v>
      </c>
      <c r="B25" s="149" t="str">
        <f>Données!B25</f>
        <v>Berolle</v>
      </c>
      <c r="C25" s="392">
        <f>Données!C25</f>
        <v>303</v>
      </c>
      <c r="D25" s="379">
        <f t="shared" si="4"/>
        <v>303</v>
      </c>
      <c r="E25" s="379">
        <f t="shared" si="12"/>
        <v>0</v>
      </c>
      <c r="F25" s="388">
        <f t="shared" si="12"/>
        <v>0</v>
      </c>
      <c r="G25" s="378">
        <f t="shared" si="12"/>
        <v>0</v>
      </c>
      <c r="H25" s="379">
        <f t="shared" si="12"/>
        <v>0</v>
      </c>
      <c r="I25" s="388">
        <f t="shared" si="12"/>
        <v>0</v>
      </c>
      <c r="J25" s="388">
        <f t="shared" si="12"/>
        <v>0</v>
      </c>
      <c r="K25" s="389">
        <f t="shared" si="5"/>
        <v>0</v>
      </c>
      <c r="L25" s="394">
        <f t="shared" si="6"/>
        <v>606</v>
      </c>
      <c r="M25" s="417">
        <f>Données!AE25</f>
        <v>0</v>
      </c>
      <c r="N25" s="394">
        <v>0</v>
      </c>
      <c r="O25" s="418">
        <f t="shared" si="2"/>
        <v>303</v>
      </c>
      <c r="P25" s="394">
        <f t="shared" si="7"/>
        <v>606</v>
      </c>
      <c r="Q25" s="419">
        <f t="shared" si="3"/>
        <v>9342.0542480914373</v>
      </c>
      <c r="R25" s="394">
        <f t="shared" si="8"/>
        <v>20415.832255143545</v>
      </c>
      <c r="S25" s="393">
        <f t="shared" si="9"/>
        <v>15212.31831168831</v>
      </c>
      <c r="T25" s="418">
        <f t="shared" si="10"/>
        <v>0</v>
      </c>
      <c r="U25" s="422">
        <f t="shared" si="11"/>
        <v>44970.204814923294</v>
      </c>
    </row>
    <row r="26" spans="1:21" x14ac:dyDescent="0.25">
      <c r="A26" s="148">
        <f>Données!A26</f>
        <v>5425</v>
      </c>
      <c r="B26" s="149" t="str">
        <f>Données!B26</f>
        <v>Bière</v>
      </c>
      <c r="C26" s="392">
        <f>Données!C26</f>
        <v>1680</v>
      </c>
      <c r="D26" s="379">
        <f t="shared" si="4"/>
        <v>1000</v>
      </c>
      <c r="E26" s="379">
        <f t="shared" si="12"/>
        <v>680</v>
      </c>
      <c r="F26" s="388">
        <f t="shared" si="12"/>
        <v>0</v>
      </c>
      <c r="G26" s="378">
        <f t="shared" si="12"/>
        <v>0</v>
      </c>
      <c r="H26" s="379">
        <f t="shared" si="12"/>
        <v>0</v>
      </c>
      <c r="I26" s="388">
        <f t="shared" si="12"/>
        <v>0</v>
      </c>
      <c r="J26" s="388">
        <f t="shared" si="12"/>
        <v>0</v>
      </c>
      <c r="K26" s="389">
        <f t="shared" si="5"/>
        <v>0</v>
      </c>
      <c r="L26" s="394">
        <f t="shared" si="6"/>
        <v>4040</v>
      </c>
      <c r="M26" s="417">
        <f>Données!AE26</f>
        <v>0</v>
      </c>
      <c r="N26" s="394">
        <v>0</v>
      </c>
      <c r="O26" s="418">
        <f t="shared" si="2"/>
        <v>1680</v>
      </c>
      <c r="P26" s="394">
        <f t="shared" si="7"/>
        <v>4040</v>
      </c>
      <c r="Q26" s="419">
        <f t="shared" si="3"/>
        <v>51797.528504269358</v>
      </c>
      <c r="R26" s="394">
        <f t="shared" si="8"/>
        <v>113196.693691885</v>
      </c>
      <c r="S26" s="393">
        <f t="shared" si="9"/>
        <v>101415.4554112554</v>
      </c>
      <c r="T26" s="418">
        <f t="shared" si="10"/>
        <v>0</v>
      </c>
      <c r="U26" s="422">
        <f t="shared" si="11"/>
        <v>266409.67760740977</v>
      </c>
    </row>
    <row r="27" spans="1:21" x14ac:dyDescent="0.25">
      <c r="A27" s="148">
        <f>Données!A27</f>
        <v>5426</v>
      </c>
      <c r="B27" s="149" t="str">
        <f>Données!B27</f>
        <v>Bougy-Villars</v>
      </c>
      <c r="C27" s="392">
        <f>Données!C27</f>
        <v>511</v>
      </c>
      <c r="D27" s="379">
        <f t="shared" si="4"/>
        <v>511</v>
      </c>
      <c r="E27" s="379">
        <f t="shared" si="12"/>
        <v>0</v>
      </c>
      <c r="F27" s="388">
        <f t="shared" si="12"/>
        <v>0</v>
      </c>
      <c r="G27" s="378">
        <f t="shared" si="12"/>
        <v>0</v>
      </c>
      <c r="H27" s="379">
        <f t="shared" si="12"/>
        <v>0</v>
      </c>
      <c r="I27" s="388">
        <f t="shared" si="12"/>
        <v>0</v>
      </c>
      <c r="J27" s="388">
        <f t="shared" si="12"/>
        <v>0</v>
      </c>
      <c r="K27" s="389">
        <f t="shared" si="5"/>
        <v>0</v>
      </c>
      <c r="L27" s="394">
        <f t="shared" si="6"/>
        <v>1022</v>
      </c>
      <c r="M27" s="417">
        <f>Données!AE27</f>
        <v>0</v>
      </c>
      <c r="N27" s="394">
        <v>0</v>
      </c>
      <c r="O27" s="418">
        <f t="shared" si="2"/>
        <v>511</v>
      </c>
      <c r="P27" s="394">
        <f t="shared" si="7"/>
        <v>1022</v>
      </c>
      <c r="Q27" s="419">
        <f t="shared" si="3"/>
        <v>15755.081586715263</v>
      </c>
      <c r="R27" s="394">
        <f t="shared" si="8"/>
        <v>34430.660997948355</v>
      </c>
      <c r="S27" s="393">
        <f t="shared" si="9"/>
        <v>25655.097878787878</v>
      </c>
      <c r="T27" s="418">
        <f t="shared" si="10"/>
        <v>0</v>
      </c>
      <c r="U27" s="422">
        <f t="shared" si="11"/>
        <v>75840.840463451488</v>
      </c>
    </row>
    <row r="28" spans="1:21" x14ac:dyDescent="0.25">
      <c r="A28" s="148">
        <f>Données!A28</f>
        <v>5427</v>
      </c>
      <c r="B28" s="149" t="str">
        <f>Données!B28</f>
        <v>Féchy</v>
      </c>
      <c r="C28" s="392">
        <f>Données!C28</f>
        <v>919</v>
      </c>
      <c r="D28" s="379">
        <f t="shared" si="4"/>
        <v>919</v>
      </c>
      <c r="E28" s="379">
        <f t="shared" si="12"/>
        <v>0</v>
      </c>
      <c r="F28" s="388">
        <f t="shared" si="12"/>
        <v>0</v>
      </c>
      <c r="G28" s="378">
        <f t="shared" si="12"/>
        <v>0</v>
      </c>
      <c r="H28" s="379">
        <f t="shared" si="12"/>
        <v>0</v>
      </c>
      <c r="I28" s="388">
        <f t="shared" si="12"/>
        <v>0</v>
      </c>
      <c r="J28" s="388">
        <f t="shared" si="12"/>
        <v>0</v>
      </c>
      <c r="K28" s="389">
        <f t="shared" si="5"/>
        <v>0</v>
      </c>
      <c r="L28" s="394">
        <f t="shared" si="6"/>
        <v>1838</v>
      </c>
      <c r="M28" s="417">
        <f>Données!AE28</f>
        <v>0</v>
      </c>
      <c r="N28" s="394">
        <v>0</v>
      </c>
      <c r="O28" s="418">
        <f t="shared" si="2"/>
        <v>919</v>
      </c>
      <c r="P28" s="394">
        <f t="shared" si="7"/>
        <v>1838</v>
      </c>
      <c r="Q28" s="419">
        <f t="shared" si="3"/>
        <v>28334.481366323536</v>
      </c>
      <c r="R28" s="394">
        <f t="shared" si="8"/>
        <v>61921.286608834715</v>
      </c>
      <c r="S28" s="393">
        <f t="shared" si="9"/>
        <v>46139.011645021645</v>
      </c>
      <c r="T28" s="418">
        <f t="shared" si="10"/>
        <v>0</v>
      </c>
      <c r="U28" s="422">
        <f t="shared" si="11"/>
        <v>136394.77962017991</v>
      </c>
    </row>
    <row r="29" spans="1:21" x14ac:dyDescent="0.25">
      <c r="A29" s="148">
        <f>Données!A29</f>
        <v>5428</v>
      </c>
      <c r="B29" s="149" t="str">
        <f>Données!B29</f>
        <v>Gimel</v>
      </c>
      <c r="C29" s="392">
        <f>Données!C29</f>
        <v>2458</v>
      </c>
      <c r="D29" s="379">
        <f t="shared" si="4"/>
        <v>1000</v>
      </c>
      <c r="E29" s="379">
        <f t="shared" si="12"/>
        <v>1458</v>
      </c>
      <c r="F29" s="388">
        <f t="shared" si="12"/>
        <v>0</v>
      </c>
      <c r="G29" s="378">
        <f t="shared" si="12"/>
        <v>0</v>
      </c>
      <c r="H29" s="379">
        <f t="shared" si="12"/>
        <v>0</v>
      </c>
      <c r="I29" s="388">
        <f t="shared" si="12"/>
        <v>0</v>
      </c>
      <c r="J29" s="388">
        <f t="shared" si="12"/>
        <v>0</v>
      </c>
      <c r="K29" s="389">
        <f t="shared" si="5"/>
        <v>0</v>
      </c>
      <c r="L29" s="394">
        <f t="shared" si="6"/>
        <v>6374</v>
      </c>
      <c r="M29" s="417">
        <f>Données!AE29</f>
        <v>0</v>
      </c>
      <c r="N29" s="394">
        <v>0</v>
      </c>
      <c r="O29" s="418">
        <f t="shared" si="2"/>
        <v>2458</v>
      </c>
      <c r="P29" s="394">
        <f t="shared" si="7"/>
        <v>6374</v>
      </c>
      <c r="Q29" s="419">
        <f t="shared" si="3"/>
        <v>75784.717299698867</v>
      </c>
      <c r="R29" s="394">
        <f t="shared" si="8"/>
        <v>165617.54350872221</v>
      </c>
      <c r="S29" s="393">
        <f t="shared" si="9"/>
        <v>160005.47346320347</v>
      </c>
      <c r="T29" s="418">
        <f t="shared" si="10"/>
        <v>0</v>
      </c>
      <c r="U29" s="422">
        <f t="shared" si="11"/>
        <v>401407.73427162453</v>
      </c>
    </row>
    <row r="30" spans="1:21" x14ac:dyDescent="0.25">
      <c r="A30" s="148">
        <f>Données!A30</f>
        <v>5429</v>
      </c>
      <c r="B30" s="149" t="str">
        <f>Données!B30</f>
        <v>Longirod</v>
      </c>
      <c r="C30" s="392">
        <f>Données!C30</f>
        <v>555</v>
      </c>
      <c r="D30" s="379">
        <f t="shared" si="4"/>
        <v>555</v>
      </c>
      <c r="E30" s="379">
        <f t="shared" si="12"/>
        <v>0</v>
      </c>
      <c r="F30" s="388">
        <f t="shared" si="12"/>
        <v>0</v>
      </c>
      <c r="G30" s="378">
        <f t="shared" si="12"/>
        <v>0</v>
      </c>
      <c r="H30" s="379">
        <f t="shared" si="12"/>
        <v>0</v>
      </c>
      <c r="I30" s="388">
        <f t="shared" si="12"/>
        <v>0</v>
      </c>
      <c r="J30" s="388">
        <f t="shared" si="12"/>
        <v>0</v>
      </c>
      <c r="K30" s="389">
        <f t="shared" si="5"/>
        <v>0</v>
      </c>
      <c r="L30" s="394">
        <f t="shared" si="6"/>
        <v>1110</v>
      </c>
      <c r="M30" s="417">
        <f>Données!AE30</f>
        <v>0</v>
      </c>
      <c r="N30" s="394">
        <v>0</v>
      </c>
      <c r="O30" s="418">
        <f t="shared" si="2"/>
        <v>555</v>
      </c>
      <c r="P30" s="394">
        <f t="shared" si="7"/>
        <v>1110</v>
      </c>
      <c r="Q30" s="419">
        <f t="shared" si="3"/>
        <v>17111.683523731841</v>
      </c>
      <c r="R30" s="394">
        <f t="shared" si="8"/>
        <v>37395.336308926293</v>
      </c>
      <c r="S30" s="393">
        <f t="shared" si="9"/>
        <v>27864.147402597402</v>
      </c>
      <c r="T30" s="418">
        <f t="shared" si="10"/>
        <v>0</v>
      </c>
      <c r="U30" s="422">
        <f t="shared" si="11"/>
        <v>82371.167235255532</v>
      </c>
    </row>
    <row r="31" spans="1:21" x14ac:dyDescent="0.25">
      <c r="A31" s="148">
        <f>Données!A31</f>
        <v>5430</v>
      </c>
      <c r="B31" s="149" t="str">
        <f>Données!B31</f>
        <v>Marchissy</v>
      </c>
      <c r="C31" s="392">
        <f>Données!C31</f>
        <v>510</v>
      </c>
      <c r="D31" s="379">
        <f t="shared" si="4"/>
        <v>510</v>
      </c>
      <c r="E31" s="379">
        <f t="shared" si="12"/>
        <v>0</v>
      </c>
      <c r="F31" s="388">
        <f t="shared" si="12"/>
        <v>0</v>
      </c>
      <c r="G31" s="378">
        <f t="shared" si="12"/>
        <v>0</v>
      </c>
      <c r="H31" s="379">
        <f t="shared" si="12"/>
        <v>0</v>
      </c>
      <c r="I31" s="388">
        <f t="shared" si="12"/>
        <v>0</v>
      </c>
      <c r="J31" s="388">
        <f t="shared" si="12"/>
        <v>0</v>
      </c>
      <c r="K31" s="389">
        <f t="shared" si="5"/>
        <v>0</v>
      </c>
      <c r="L31" s="394">
        <f t="shared" si="6"/>
        <v>1020</v>
      </c>
      <c r="M31" s="417">
        <f>Données!AE31</f>
        <v>0</v>
      </c>
      <c r="N31" s="394">
        <v>0</v>
      </c>
      <c r="O31" s="418">
        <f t="shared" si="2"/>
        <v>510</v>
      </c>
      <c r="P31" s="394">
        <f t="shared" si="7"/>
        <v>1020</v>
      </c>
      <c r="Q31" s="419">
        <f t="shared" si="3"/>
        <v>15724.249724510342</v>
      </c>
      <c r="R31" s="394">
        <f t="shared" si="8"/>
        <v>34363.282013607946</v>
      </c>
      <c r="S31" s="393">
        <f t="shared" si="9"/>
        <v>25604.892207792207</v>
      </c>
      <c r="T31" s="418">
        <f t="shared" si="10"/>
        <v>0</v>
      </c>
      <c r="U31" s="422">
        <f t="shared" si="11"/>
        <v>75692.423945910501</v>
      </c>
    </row>
    <row r="32" spans="1:21" x14ac:dyDescent="0.25">
      <c r="A32" s="148">
        <f>Données!A32</f>
        <v>5431</v>
      </c>
      <c r="B32" s="149" t="str">
        <f>Données!B32</f>
        <v>Mollens</v>
      </c>
      <c r="C32" s="392">
        <f>Données!C32</f>
        <v>324</v>
      </c>
      <c r="D32" s="379">
        <f t="shared" si="4"/>
        <v>324</v>
      </c>
      <c r="E32" s="379">
        <f t="shared" si="12"/>
        <v>0</v>
      </c>
      <c r="F32" s="388">
        <f t="shared" si="12"/>
        <v>0</v>
      </c>
      <c r="G32" s="378">
        <f t="shared" si="12"/>
        <v>0</v>
      </c>
      <c r="H32" s="379">
        <f t="shared" si="12"/>
        <v>0</v>
      </c>
      <c r="I32" s="388">
        <f t="shared" si="12"/>
        <v>0</v>
      </c>
      <c r="J32" s="388">
        <f t="shared" si="12"/>
        <v>0</v>
      </c>
      <c r="K32" s="389">
        <f t="shared" si="5"/>
        <v>0</v>
      </c>
      <c r="L32" s="394">
        <f t="shared" si="6"/>
        <v>648</v>
      </c>
      <c r="M32" s="417">
        <f>Données!AE32</f>
        <v>0</v>
      </c>
      <c r="N32" s="394">
        <v>0</v>
      </c>
      <c r="O32" s="418">
        <f t="shared" si="2"/>
        <v>324</v>
      </c>
      <c r="P32" s="394">
        <f t="shared" si="7"/>
        <v>648</v>
      </c>
      <c r="Q32" s="419">
        <f t="shared" si="3"/>
        <v>9989.5233543948052</v>
      </c>
      <c r="R32" s="394">
        <f t="shared" si="8"/>
        <v>21830.790926292109</v>
      </c>
      <c r="S32" s="393">
        <f t="shared" si="9"/>
        <v>16266.637402597402</v>
      </c>
      <c r="T32" s="418">
        <f t="shared" si="10"/>
        <v>0</v>
      </c>
      <c r="U32" s="422">
        <f t="shared" si="11"/>
        <v>48086.951683284315</v>
      </c>
    </row>
    <row r="33" spans="1:21" x14ac:dyDescent="0.25">
      <c r="A33" s="148">
        <f>Données!A33</f>
        <v>5434</v>
      </c>
      <c r="B33" s="149" t="str">
        <f>Données!B33</f>
        <v>Saint-George</v>
      </c>
      <c r="C33" s="392">
        <f>Données!C33</f>
        <v>1083</v>
      </c>
      <c r="D33" s="379">
        <f t="shared" si="4"/>
        <v>1000</v>
      </c>
      <c r="E33" s="379">
        <f t="shared" si="12"/>
        <v>83</v>
      </c>
      <c r="F33" s="388">
        <f t="shared" si="12"/>
        <v>0</v>
      </c>
      <c r="G33" s="378">
        <f t="shared" si="12"/>
        <v>0</v>
      </c>
      <c r="H33" s="379">
        <f t="shared" si="12"/>
        <v>0</v>
      </c>
      <c r="I33" s="388">
        <f t="shared" si="12"/>
        <v>0</v>
      </c>
      <c r="J33" s="388">
        <f t="shared" si="12"/>
        <v>0</v>
      </c>
      <c r="K33" s="389">
        <f t="shared" si="5"/>
        <v>0</v>
      </c>
      <c r="L33" s="394">
        <f t="shared" si="6"/>
        <v>2249</v>
      </c>
      <c r="M33" s="417">
        <f>Données!AE33</f>
        <v>0</v>
      </c>
      <c r="N33" s="394">
        <v>0</v>
      </c>
      <c r="O33" s="418">
        <f t="shared" si="2"/>
        <v>1083</v>
      </c>
      <c r="P33" s="394">
        <f t="shared" si="7"/>
        <v>2249</v>
      </c>
      <c r="Q33" s="419">
        <f t="shared" si="3"/>
        <v>33390.906767930785</v>
      </c>
      <c r="R33" s="394">
        <f t="shared" si="8"/>
        <v>72971.44004066159</v>
      </c>
      <c r="S33" s="393">
        <f t="shared" si="9"/>
        <v>56456.277034632032</v>
      </c>
      <c r="T33" s="418">
        <f t="shared" si="10"/>
        <v>0</v>
      </c>
      <c r="U33" s="422">
        <f t="shared" si="11"/>
        <v>162818.62384322443</v>
      </c>
    </row>
    <row r="34" spans="1:21" x14ac:dyDescent="0.25">
      <c r="A34" s="148">
        <f>Données!A34</f>
        <v>5435</v>
      </c>
      <c r="B34" s="149" t="str">
        <f>Données!B34</f>
        <v>Saint-Livres</v>
      </c>
      <c r="C34" s="392">
        <f>Données!C34</f>
        <v>715</v>
      </c>
      <c r="D34" s="379">
        <f t="shared" si="4"/>
        <v>715</v>
      </c>
      <c r="E34" s="379">
        <f t="shared" si="12"/>
        <v>0</v>
      </c>
      <c r="F34" s="388">
        <f t="shared" si="12"/>
        <v>0</v>
      </c>
      <c r="G34" s="378">
        <f t="shared" si="12"/>
        <v>0</v>
      </c>
      <c r="H34" s="379">
        <f t="shared" si="12"/>
        <v>0</v>
      </c>
      <c r="I34" s="388">
        <f t="shared" si="12"/>
        <v>0</v>
      </c>
      <c r="J34" s="388">
        <f t="shared" si="12"/>
        <v>0</v>
      </c>
      <c r="K34" s="389">
        <f t="shared" si="5"/>
        <v>0</v>
      </c>
      <c r="L34" s="394">
        <f t="shared" si="6"/>
        <v>1430</v>
      </c>
      <c r="M34" s="417">
        <f>Données!AE34</f>
        <v>0</v>
      </c>
      <c r="N34" s="394">
        <v>0</v>
      </c>
      <c r="O34" s="418">
        <f t="shared" si="2"/>
        <v>715</v>
      </c>
      <c r="P34" s="394">
        <f t="shared" si="7"/>
        <v>1430</v>
      </c>
      <c r="Q34" s="419">
        <f t="shared" si="3"/>
        <v>22044.781476519402</v>
      </c>
      <c r="R34" s="394">
        <f t="shared" si="8"/>
        <v>48175.973803391535</v>
      </c>
      <c r="S34" s="393">
        <f t="shared" si="9"/>
        <v>35897.054761904757</v>
      </c>
      <c r="T34" s="418">
        <f t="shared" si="10"/>
        <v>0</v>
      </c>
      <c r="U34" s="422">
        <f t="shared" si="11"/>
        <v>106117.8100418157</v>
      </c>
    </row>
    <row r="35" spans="1:21" x14ac:dyDescent="0.25">
      <c r="A35" s="148">
        <f>Données!A35</f>
        <v>5436</v>
      </c>
      <c r="B35" s="149" t="str">
        <f>Données!B35</f>
        <v>Saint-Oyens</v>
      </c>
      <c r="C35" s="392">
        <f>Données!C35</f>
        <v>457</v>
      </c>
      <c r="D35" s="379">
        <f t="shared" si="4"/>
        <v>457</v>
      </c>
      <c r="E35" s="379">
        <f t="shared" si="12"/>
        <v>0</v>
      </c>
      <c r="F35" s="388">
        <f t="shared" si="12"/>
        <v>0</v>
      </c>
      <c r="G35" s="378">
        <f t="shared" si="12"/>
        <v>0</v>
      </c>
      <c r="H35" s="379">
        <f t="shared" si="12"/>
        <v>0</v>
      </c>
      <c r="I35" s="388">
        <f t="shared" si="12"/>
        <v>0</v>
      </c>
      <c r="J35" s="388">
        <f t="shared" si="12"/>
        <v>0</v>
      </c>
      <c r="K35" s="389">
        <f t="shared" si="5"/>
        <v>0</v>
      </c>
      <c r="L35" s="394">
        <f t="shared" si="6"/>
        <v>914</v>
      </c>
      <c r="M35" s="417">
        <f>Données!AE35</f>
        <v>0</v>
      </c>
      <c r="N35" s="394">
        <v>0</v>
      </c>
      <c r="O35" s="418">
        <f t="shared" si="2"/>
        <v>457</v>
      </c>
      <c r="P35" s="394">
        <f t="shared" si="7"/>
        <v>914</v>
      </c>
      <c r="Q35" s="419">
        <f t="shared" si="3"/>
        <v>14090.161027649463</v>
      </c>
      <c r="R35" s="394">
        <f t="shared" si="8"/>
        <v>30792.195843566336</v>
      </c>
      <c r="S35" s="393">
        <f t="shared" si="9"/>
        <v>22943.991645021644</v>
      </c>
      <c r="T35" s="418">
        <f t="shared" si="10"/>
        <v>0</v>
      </c>
      <c r="U35" s="422">
        <f t="shared" si="11"/>
        <v>67826.348516237442</v>
      </c>
    </row>
    <row r="36" spans="1:21" x14ac:dyDescent="0.25">
      <c r="A36" s="148">
        <f>Données!A36</f>
        <v>5437</v>
      </c>
      <c r="B36" s="149" t="str">
        <f>Données!B36</f>
        <v>Saubraz</v>
      </c>
      <c r="C36" s="392">
        <f>Données!C36</f>
        <v>446</v>
      </c>
      <c r="D36" s="379">
        <f t="shared" si="4"/>
        <v>446</v>
      </c>
      <c r="E36" s="379">
        <f t="shared" si="12"/>
        <v>0</v>
      </c>
      <c r="F36" s="388">
        <f t="shared" si="12"/>
        <v>0</v>
      </c>
      <c r="G36" s="378">
        <f t="shared" si="12"/>
        <v>0</v>
      </c>
      <c r="H36" s="379">
        <f t="shared" si="12"/>
        <v>0</v>
      </c>
      <c r="I36" s="388">
        <f t="shared" si="12"/>
        <v>0</v>
      </c>
      <c r="J36" s="388">
        <f t="shared" si="12"/>
        <v>0</v>
      </c>
      <c r="K36" s="389">
        <f t="shared" si="5"/>
        <v>0</v>
      </c>
      <c r="L36" s="394">
        <f t="shared" si="6"/>
        <v>892</v>
      </c>
      <c r="M36" s="417">
        <f>Données!AE36</f>
        <v>0</v>
      </c>
      <c r="N36" s="394">
        <v>0</v>
      </c>
      <c r="O36" s="418">
        <f t="shared" si="2"/>
        <v>446</v>
      </c>
      <c r="P36" s="394">
        <f t="shared" si="7"/>
        <v>892</v>
      </c>
      <c r="Q36" s="419">
        <f t="shared" si="3"/>
        <v>13751.010543395318</v>
      </c>
      <c r="R36" s="394">
        <f t="shared" si="8"/>
        <v>30051.027015821852</v>
      </c>
      <c r="S36" s="393">
        <f t="shared" si="9"/>
        <v>22391.729264069261</v>
      </c>
      <c r="T36" s="418">
        <f t="shared" si="10"/>
        <v>0</v>
      </c>
      <c r="U36" s="422">
        <f t="shared" si="11"/>
        <v>66193.766823286423</v>
      </c>
    </row>
    <row r="37" spans="1:21" x14ac:dyDescent="0.25">
      <c r="A37" s="148">
        <f>Données!A37</f>
        <v>5451</v>
      </c>
      <c r="B37" s="149" t="str">
        <f>Données!B37</f>
        <v>Avenches</v>
      </c>
      <c r="C37" s="392">
        <f>Données!C37</f>
        <v>4895</v>
      </c>
      <c r="D37" s="379">
        <f t="shared" si="4"/>
        <v>1000</v>
      </c>
      <c r="E37" s="379">
        <f t="shared" si="12"/>
        <v>2000</v>
      </c>
      <c r="F37" s="388">
        <f t="shared" si="12"/>
        <v>1895</v>
      </c>
      <c r="G37" s="378">
        <f t="shared" si="12"/>
        <v>0</v>
      </c>
      <c r="H37" s="379">
        <f t="shared" si="12"/>
        <v>0</v>
      </c>
      <c r="I37" s="388">
        <f t="shared" si="12"/>
        <v>0</v>
      </c>
      <c r="J37" s="388">
        <f t="shared" si="12"/>
        <v>0</v>
      </c>
      <c r="K37" s="389">
        <f t="shared" si="5"/>
        <v>0</v>
      </c>
      <c r="L37" s="394">
        <f t="shared" si="6"/>
        <v>14632.5</v>
      </c>
      <c r="M37" s="417">
        <f>Données!AE37</f>
        <v>0</v>
      </c>
      <c r="N37" s="394">
        <v>0</v>
      </c>
      <c r="O37" s="418">
        <f t="shared" si="2"/>
        <v>4895</v>
      </c>
      <c r="P37" s="394">
        <f t="shared" si="7"/>
        <v>14632.5</v>
      </c>
      <c r="Q37" s="419">
        <f t="shared" si="3"/>
        <v>150921.96549309435</v>
      </c>
      <c r="R37" s="394">
        <f t="shared" si="8"/>
        <v>329820.12834629591</v>
      </c>
      <c r="S37" s="393">
        <f t="shared" si="9"/>
        <v>367317.24042207788</v>
      </c>
      <c r="T37" s="418">
        <f t="shared" si="10"/>
        <v>0</v>
      </c>
      <c r="U37" s="422">
        <f t="shared" si="11"/>
        <v>848059.33426146815</v>
      </c>
    </row>
    <row r="38" spans="1:21" x14ac:dyDescent="0.25">
      <c r="A38" s="148">
        <f>Données!A38</f>
        <v>5456</v>
      </c>
      <c r="B38" s="149" t="str">
        <f>Données!B38</f>
        <v>Cudrefin</v>
      </c>
      <c r="C38" s="392">
        <f>Données!C38</f>
        <v>1885</v>
      </c>
      <c r="D38" s="379">
        <f t="shared" si="4"/>
        <v>1000</v>
      </c>
      <c r="E38" s="379">
        <f t="shared" si="12"/>
        <v>885</v>
      </c>
      <c r="F38" s="388">
        <f t="shared" si="12"/>
        <v>0</v>
      </c>
      <c r="G38" s="378">
        <f t="shared" si="12"/>
        <v>0</v>
      </c>
      <c r="H38" s="379">
        <f t="shared" si="12"/>
        <v>0</v>
      </c>
      <c r="I38" s="388">
        <f t="shared" si="12"/>
        <v>0</v>
      </c>
      <c r="J38" s="388">
        <f t="shared" si="12"/>
        <v>0</v>
      </c>
      <c r="K38" s="389">
        <f t="shared" si="5"/>
        <v>0</v>
      </c>
      <c r="L38" s="394">
        <f t="shared" si="6"/>
        <v>4655</v>
      </c>
      <c r="M38" s="417">
        <f>Données!AE38</f>
        <v>0</v>
      </c>
      <c r="N38" s="394">
        <v>0</v>
      </c>
      <c r="O38" s="418">
        <f t="shared" si="2"/>
        <v>1885</v>
      </c>
      <c r="P38" s="394">
        <f t="shared" si="7"/>
        <v>4655</v>
      </c>
      <c r="Q38" s="419">
        <f t="shared" si="3"/>
        <v>58118.060256278419</v>
      </c>
      <c r="R38" s="394">
        <f t="shared" si="8"/>
        <v>127009.38548166859</v>
      </c>
      <c r="S38" s="393">
        <f t="shared" si="9"/>
        <v>116853.69924242423</v>
      </c>
      <c r="T38" s="418">
        <f t="shared" si="10"/>
        <v>0</v>
      </c>
      <c r="U38" s="422">
        <f t="shared" si="11"/>
        <v>301981.14498037123</v>
      </c>
    </row>
    <row r="39" spans="1:21" x14ac:dyDescent="0.25">
      <c r="A39" s="148">
        <f>Données!A39</f>
        <v>5458</v>
      </c>
      <c r="B39" s="149" t="str">
        <f>Données!B39</f>
        <v>Faoug</v>
      </c>
      <c r="C39" s="392">
        <f>Données!C39</f>
        <v>900</v>
      </c>
      <c r="D39" s="379">
        <f t="shared" si="4"/>
        <v>900</v>
      </c>
      <c r="E39" s="379">
        <f t="shared" si="12"/>
        <v>0</v>
      </c>
      <c r="F39" s="388">
        <f t="shared" si="12"/>
        <v>0</v>
      </c>
      <c r="G39" s="378">
        <f t="shared" si="12"/>
        <v>0</v>
      </c>
      <c r="H39" s="379">
        <f t="shared" si="12"/>
        <v>0</v>
      </c>
      <c r="I39" s="388">
        <f t="shared" si="12"/>
        <v>0</v>
      </c>
      <c r="J39" s="388">
        <f t="shared" si="12"/>
        <v>0</v>
      </c>
      <c r="K39" s="389">
        <f t="shared" si="5"/>
        <v>0</v>
      </c>
      <c r="L39" s="394">
        <f t="shared" si="6"/>
        <v>1800</v>
      </c>
      <c r="M39" s="417">
        <f>Données!AE39</f>
        <v>0</v>
      </c>
      <c r="N39" s="394">
        <v>0</v>
      </c>
      <c r="O39" s="418">
        <f t="shared" si="2"/>
        <v>900</v>
      </c>
      <c r="P39" s="394">
        <f t="shared" si="7"/>
        <v>1800</v>
      </c>
      <c r="Q39" s="419">
        <f t="shared" si="3"/>
        <v>27748.675984430014</v>
      </c>
      <c r="R39" s="394">
        <f t="shared" si="8"/>
        <v>60641.085906366963</v>
      </c>
      <c r="S39" s="393">
        <f t="shared" si="9"/>
        <v>45185.103896103894</v>
      </c>
      <c r="T39" s="418">
        <f t="shared" si="10"/>
        <v>0</v>
      </c>
      <c r="U39" s="422">
        <f t="shared" si="11"/>
        <v>133574.86578690086</v>
      </c>
    </row>
    <row r="40" spans="1:21" x14ac:dyDescent="0.25">
      <c r="A40" s="148">
        <f>Données!A40</f>
        <v>5464</v>
      </c>
      <c r="B40" s="149" t="str">
        <f>Données!B40</f>
        <v>Vully-les-Lacs</v>
      </c>
      <c r="C40" s="392">
        <f>Données!C40</f>
        <v>3639</v>
      </c>
      <c r="D40" s="379">
        <f t="shared" si="4"/>
        <v>1000</v>
      </c>
      <c r="E40" s="379">
        <f t="shared" si="12"/>
        <v>2000</v>
      </c>
      <c r="F40" s="388">
        <f t="shared" si="12"/>
        <v>639</v>
      </c>
      <c r="G40" s="378">
        <f t="shared" si="12"/>
        <v>0</v>
      </c>
      <c r="H40" s="379">
        <f t="shared" si="12"/>
        <v>0</v>
      </c>
      <c r="I40" s="388">
        <f t="shared" si="12"/>
        <v>0</v>
      </c>
      <c r="J40" s="388">
        <f t="shared" si="12"/>
        <v>0</v>
      </c>
      <c r="K40" s="389">
        <f t="shared" si="5"/>
        <v>0</v>
      </c>
      <c r="L40" s="394">
        <f t="shared" si="6"/>
        <v>10236.5</v>
      </c>
      <c r="M40" s="417">
        <f>Données!AE40</f>
        <v>0</v>
      </c>
      <c r="N40" s="394">
        <v>0</v>
      </c>
      <c r="O40" s="418">
        <f t="shared" si="2"/>
        <v>3639</v>
      </c>
      <c r="P40" s="394">
        <f t="shared" si="7"/>
        <v>10236.5</v>
      </c>
      <c r="Q40" s="419">
        <f t="shared" si="3"/>
        <v>112197.14656371203</v>
      </c>
      <c r="R40" s="394">
        <f t="shared" si="8"/>
        <v>245192.12401474378</v>
      </c>
      <c r="S40" s="393">
        <f t="shared" si="9"/>
        <v>256965.17557359306</v>
      </c>
      <c r="T40" s="418">
        <f t="shared" si="10"/>
        <v>0</v>
      </c>
      <c r="U40" s="422">
        <f t="shared" si="11"/>
        <v>614354.44615204888</v>
      </c>
    </row>
    <row r="41" spans="1:21" x14ac:dyDescent="0.25">
      <c r="A41" s="148">
        <f>Données!A41</f>
        <v>5471</v>
      </c>
      <c r="B41" s="149" t="str">
        <f>Données!B41</f>
        <v>Bettens</v>
      </c>
      <c r="C41" s="392">
        <f>Données!C41</f>
        <v>653</v>
      </c>
      <c r="D41" s="379">
        <f t="shared" si="4"/>
        <v>653</v>
      </c>
      <c r="E41" s="379">
        <f t="shared" si="12"/>
        <v>0</v>
      </c>
      <c r="F41" s="388">
        <f t="shared" si="12"/>
        <v>0</v>
      </c>
      <c r="G41" s="378">
        <f t="shared" si="12"/>
        <v>0</v>
      </c>
      <c r="H41" s="379">
        <f t="shared" si="12"/>
        <v>0</v>
      </c>
      <c r="I41" s="388">
        <f t="shared" si="12"/>
        <v>0</v>
      </c>
      <c r="J41" s="388">
        <f t="shared" si="12"/>
        <v>0</v>
      </c>
      <c r="K41" s="389">
        <f t="shared" si="5"/>
        <v>0</v>
      </c>
      <c r="L41" s="394">
        <f t="shared" si="6"/>
        <v>1306</v>
      </c>
      <c r="M41" s="417">
        <f>Données!AE41</f>
        <v>0</v>
      </c>
      <c r="N41" s="394">
        <v>0</v>
      </c>
      <c r="O41" s="418">
        <f t="shared" si="2"/>
        <v>653</v>
      </c>
      <c r="P41" s="394">
        <f t="shared" si="7"/>
        <v>1306</v>
      </c>
      <c r="Q41" s="419">
        <f t="shared" si="3"/>
        <v>20133.206019814221</v>
      </c>
      <c r="R41" s="394">
        <f t="shared" si="8"/>
        <v>43998.476774286253</v>
      </c>
      <c r="S41" s="393">
        <f t="shared" si="9"/>
        <v>32784.303160173156</v>
      </c>
      <c r="T41" s="418">
        <f t="shared" si="10"/>
        <v>0</v>
      </c>
      <c r="U41" s="422">
        <f t="shared" si="11"/>
        <v>96915.985954273638</v>
      </c>
    </row>
    <row r="42" spans="1:21" x14ac:dyDescent="0.25">
      <c r="A42" s="148">
        <f>Données!A42</f>
        <v>5472</v>
      </c>
      <c r="B42" s="149" t="str">
        <f>Données!B42</f>
        <v>Bournens</v>
      </c>
      <c r="C42" s="392">
        <f>Données!C42</f>
        <v>532</v>
      </c>
      <c r="D42" s="379">
        <f t="shared" si="4"/>
        <v>532</v>
      </c>
      <c r="E42" s="379">
        <f t="shared" si="12"/>
        <v>0</v>
      </c>
      <c r="F42" s="388">
        <f t="shared" si="12"/>
        <v>0</v>
      </c>
      <c r="G42" s="378">
        <f t="shared" si="12"/>
        <v>0</v>
      </c>
      <c r="H42" s="379">
        <f t="shared" si="12"/>
        <v>0</v>
      </c>
      <c r="I42" s="388">
        <f t="shared" si="12"/>
        <v>0</v>
      </c>
      <c r="J42" s="388">
        <f t="shared" si="12"/>
        <v>0</v>
      </c>
      <c r="K42" s="389">
        <f t="shared" si="5"/>
        <v>0</v>
      </c>
      <c r="L42" s="394">
        <f t="shared" si="6"/>
        <v>1064</v>
      </c>
      <c r="M42" s="417">
        <f>Données!AE42</f>
        <v>0</v>
      </c>
      <c r="N42" s="394">
        <v>0</v>
      </c>
      <c r="O42" s="418">
        <f t="shared" si="2"/>
        <v>532</v>
      </c>
      <c r="P42" s="394">
        <f t="shared" si="7"/>
        <v>1064</v>
      </c>
      <c r="Q42" s="419">
        <f t="shared" si="3"/>
        <v>16402.550693018631</v>
      </c>
      <c r="R42" s="394">
        <f t="shared" si="8"/>
        <v>35845.619669096915</v>
      </c>
      <c r="S42" s="393">
        <f t="shared" si="9"/>
        <v>26709.416969696969</v>
      </c>
      <c r="T42" s="418">
        <f t="shared" si="10"/>
        <v>0</v>
      </c>
      <c r="U42" s="422">
        <f t="shared" si="11"/>
        <v>78957.587331812509</v>
      </c>
    </row>
    <row r="43" spans="1:21" x14ac:dyDescent="0.25">
      <c r="A43" s="148">
        <f>Données!A43</f>
        <v>5473</v>
      </c>
      <c r="B43" s="149" t="str">
        <f>Données!B43</f>
        <v>Boussens</v>
      </c>
      <c r="C43" s="392">
        <f>Données!C43</f>
        <v>1007</v>
      </c>
      <c r="D43" s="379">
        <f t="shared" si="4"/>
        <v>1000</v>
      </c>
      <c r="E43" s="379">
        <f t="shared" si="12"/>
        <v>7</v>
      </c>
      <c r="F43" s="388">
        <f t="shared" si="12"/>
        <v>0</v>
      </c>
      <c r="G43" s="378">
        <f t="shared" si="12"/>
        <v>0</v>
      </c>
      <c r="H43" s="379">
        <f t="shared" si="12"/>
        <v>0</v>
      </c>
      <c r="I43" s="388">
        <f t="shared" si="12"/>
        <v>0</v>
      </c>
      <c r="J43" s="388">
        <f t="shared" si="12"/>
        <v>0</v>
      </c>
      <c r="K43" s="389">
        <f t="shared" si="5"/>
        <v>0</v>
      </c>
      <c r="L43" s="394">
        <f t="shared" si="6"/>
        <v>2021</v>
      </c>
      <c r="M43" s="417">
        <f>Données!AE43</f>
        <v>0</v>
      </c>
      <c r="N43" s="394">
        <v>0</v>
      </c>
      <c r="O43" s="418">
        <f t="shared" si="2"/>
        <v>1007</v>
      </c>
      <c r="P43" s="394">
        <f t="shared" si="7"/>
        <v>2021</v>
      </c>
      <c r="Q43" s="419">
        <f t="shared" si="3"/>
        <v>31047.685240356695</v>
      </c>
      <c r="R43" s="394">
        <f t="shared" si="8"/>
        <v>67850.637230790599</v>
      </c>
      <c r="S43" s="393">
        <f t="shared" si="9"/>
        <v>50732.830541125535</v>
      </c>
      <c r="T43" s="418">
        <f t="shared" si="10"/>
        <v>0</v>
      </c>
      <c r="U43" s="422">
        <f t="shared" si="11"/>
        <v>149631.15301227281</v>
      </c>
    </row>
    <row r="44" spans="1:21" x14ac:dyDescent="0.25">
      <c r="A44" s="148">
        <f>Données!A44</f>
        <v>5474</v>
      </c>
      <c r="B44" s="149" t="str">
        <f>Données!B44</f>
        <v>La Chaux (Cossonay)</v>
      </c>
      <c r="C44" s="392">
        <f>Données!C44</f>
        <v>436</v>
      </c>
      <c r="D44" s="379">
        <f t="shared" si="4"/>
        <v>436</v>
      </c>
      <c r="E44" s="379">
        <f t="shared" si="12"/>
        <v>0</v>
      </c>
      <c r="F44" s="388">
        <f t="shared" si="12"/>
        <v>0</v>
      </c>
      <c r="G44" s="378">
        <f t="shared" si="12"/>
        <v>0</v>
      </c>
      <c r="H44" s="379">
        <f t="shared" si="12"/>
        <v>0</v>
      </c>
      <c r="I44" s="388">
        <f t="shared" si="12"/>
        <v>0</v>
      </c>
      <c r="J44" s="388">
        <f t="shared" si="12"/>
        <v>0</v>
      </c>
      <c r="K44" s="389">
        <f t="shared" si="5"/>
        <v>0</v>
      </c>
      <c r="L44" s="394">
        <f t="shared" si="6"/>
        <v>872</v>
      </c>
      <c r="M44" s="417">
        <f>Données!AE44</f>
        <v>0</v>
      </c>
      <c r="N44" s="394">
        <v>0</v>
      </c>
      <c r="O44" s="418">
        <f t="shared" si="2"/>
        <v>436</v>
      </c>
      <c r="P44" s="394">
        <f t="shared" si="7"/>
        <v>872</v>
      </c>
      <c r="Q44" s="419">
        <f t="shared" si="3"/>
        <v>13442.691921346095</v>
      </c>
      <c r="R44" s="394">
        <f t="shared" si="8"/>
        <v>29377.237172417776</v>
      </c>
      <c r="S44" s="393">
        <f t="shared" si="9"/>
        <v>21889.672554112552</v>
      </c>
      <c r="T44" s="418">
        <f t="shared" si="10"/>
        <v>0</v>
      </c>
      <c r="U44" s="422">
        <f t="shared" si="11"/>
        <v>64709.601647876421</v>
      </c>
    </row>
    <row r="45" spans="1:21" x14ac:dyDescent="0.25">
      <c r="A45" s="148">
        <f>Données!A45</f>
        <v>5475</v>
      </c>
      <c r="B45" s="149" t="str">
        <f>Données!B45</f>
        <v>Chavannes-le-Veyron</v>
      </c>
      <c r="C45" s="392">
        <f>Données!C45</f>
        <v>160</v>
      </c>
      <c r="D45" s="379">
        <f t="shared" si="4"/>
        <v>160</v>
      </c>
      <c r="E45" s="379">
        <f t="shared" si="12"/>
        <v>0</v>
      </c>
      <c r="F45" s="388">
        <f t="shared" si="12"/>
        <v>0</v>
      </c>
      <c r="G45" s="378">
        <f t="shared" si="12"/>
        <v>0</v>
      </c>
      <c r="H45" s="379">
        <f t="shared" si="12"/>
        <v>0</v>
      </c>
      <c r="I45" s="388">
        <f t="shared" si="12"/>
        <v>0</v>
      </c>
      <c r="J45" s="388">
        <f t="shared" si="12"/>
        <v>0</v>
      </c>
      <c r="K45" s="389">
        <f t="shared" si="5"/>
        <v>0</v>
      </c>
      <c r="L45" s="394">
        <f t="shared" si="6"/>
        <v>320</v>
      </c>
      <c r="M45" s="417">
        <f>Données!AE45</f>
        <v>0</v>
      </c>
      <c r="N45" s="394">
        <v>0</v>
      </c>
      <c r="O45" s="418">
        <f t="shared" si="2"/>
        <v>160</v>
      </c>
      <c r="P45" s="394">
        <f t="shared" si="7"/>
        <v>320</v>
      </c>
      <c r="Q45" s="419">
        <f t="shared" si="3"/>
        <v>4933.0979527875579</v>
      </c>
      <c r="R45" s="394">
        <f t="shared" si="8"/>
        <v>10780.637494465238</v>
      </c>
      <c r="S45" s="393">
        <f t="shared" si="9"/>
        <v>8032.907359307359</v>
      </c>
      <c r="T45" s="418">
        <f t="shared" si="10"/>
        <v>0</v>
      </c>
      <c r="U45" s="422">
        <f t="shared" si="11"/>
        <v>23746.642806560154</v>
      </c>
    </row>
    <row r="46" spans="1:21" x14ac:dyDescent="0.25">
      <c r="A46" s="148">
        <f>Données!A46</f>
        <v>5476</v>
      </c>
      <c r="B46" s="149" t="str">
        <f>Données!B46</f>
        <v>Chevilly</v>
      </c>
      <c r="C46" s="392">
        <f>Données!C46</f>
        <v>346</v>
      </c>
      <c r="D46" s="379">
        <f t="shared" si="4"/>
        <v>346</v>
      </c>
      <c r="E46" s="379">
        <f t="shared" si="12"/>
        <v>0</v>
      </c>
      <c r="F46" s="388">
        <f t="shared" si="12"/>
        <v>0</v>
      </c>
      <c r="G46" s="378">
        <f t="shared" si="12"/>
        <v>0</v>
      </c>
      <c r="H46" s="379">
        <f t="shared" si="12"/>
        <v>0</v>
      </c>
      <c r="I46" s="388">
        <f t="shared" si="12"/>
        <v>0</v>
      </c>
      <c r="J46" s="388">
        <f t="shared" si="12"/>
        <v>0</v>
      </c>
      <c r="K46" s="389">
        <f t="shared" si="5"/>
        <v>0</v>
      </c>
      <c r="L46" s="394">
        <f t="shared" si="6"/>
        <v>692</v>
      </c>
      <c r="M46" s="417">
        <f>Données!AE46</f>
        <v>0</v>
      </c>
      <c r="N46" s="394">
        <v>0</v>
      </c>
      <c r="O46" s="418">
        <f t="shared" si="2"/>
        <v>346</v>
      </c>
      <c r="P46" s="394">
        <f t="shared" si="7"/>
        <v>692</v>
      </c>
      <c r="Q46" s="419">
        <f t="shared" si="3"/>
        <v>10667.824322903094</v>
      </c>
      <c r="R46" s="394">
        <f t="shared" si="8"/>
        <v>23313.128581781079</v>
      </c>
      <c r="S46" s="393">
        <f t="shared" si="9"/>
        <v>17371.162164502162</v>
      </c>
      <c r="T46" s="418">
        <f t="shared" si="10"/>
        <v>0</v>
      </c>
      <c r="U46" s="422">
        <f t="shared" si="11"/>
        <v>51352.115069186329</v>
      </c>
    </row>
    <row r="47" spans="1:21" x14ac:dyDescent="0.25">
      <c r="A47" s="148">
        <f>Données!A47</f>
        <v>5477</v>
      </c>
      <c r="B47" s="149" t="str">
        <f>Données!B47</f>
        <v>Cossonay</v>
      </c>
      <c r="C47" s="392">
        <f>Données!C47</f>
        <v>4902</v>
      </c>
      <c r="D47" s="379">
        <f t="shared" si="4"/>
        <v>1000</v>
      </c>
      <c r="E47" s="379">
        <f t="shared" si="12"/>
        <v>2000</v>
      </c>
      <c r="F47" s="388">
        <f t="shared" si="12"/>
        <v>1902</v>
      </c>
      <c r="G47" s="378">
        <f t="shared" si="12"/>
        <v>0</v>
      </c>
      <c r="H47" s="379">
        <f t="shared" si="12"/>
        <v>0</v>
      </c>
      <c r="I47" s="388">
        <f t="shared" si="12"/>
        <v>0</v>
      </c>
      <c r="J47" s="388">
        <f t="shared" si="12"/>
        <v>0</v>
      </c>
      <c r="K47" s="389">
        <f t="shared" si="5"/>
        <v>0</v>
      </c>
      <c r="L47" s="394">
        <f t="shared" si="6"/>
        <v>14657</v>
      </c>
      <c r="M47" s="417">
        <f>Données!AE47</f>
        <v>0</v>
      </c>
      <c r="N47" s="394">
        <v>0</v>
      </c>
      <c r="O47" s="418">
        <f t="shared" si="2"/>
        <v>4902</v>
      </c>
      <c r="P47" s="394">
        <f t="shared" si="7"/>
        <v>14657</v>
      </c>
      <c r="Q47" s="419">
        <f t="shared" si="3"/>
        <v>151137.78852852882</v>
      </c>
      <c r="R47" s="394">
        <f t="shared" si="8"/>
        <v>330291.78123667877</v>
      </c>
      <c r="S47" s="393">
        <f t="shared" si="9"/>
        <v>367932.25989177485</v>
      </c>
      <c r="T47" s="418">
        <f t="shared" si="10"/>
        <v>0</v>
      </c>
      <c r="U47" s="422">
        <f t="shared" si="11"/>
        <v>849361.82965698245</v>
      </c>
    </row>
    <row r="48" spans="1:21" x14ac:dyDescent="0.25">
      <c r="A48" s="148">
        <f>Données!A48</f>
        <v>5479</v>
      </c>
      <c r="B48" s="149" t="str">
        <f>Données!B48</f>
        <v>Cuarnens</v>
      </c>
      <c r="C48" s="392">
        <f>Données!C48</f>
        <v>561</v>
      </c>
      <c r="D48" s="379">
        <f t="shared" si="4"/>
        <v>561</v>
      </c>
      <c r="E48" s="379">
        <f t="shared" si="12"/>
        <v>0</v>
      </c>
      <c r="F48" s="388">
        <f t="shared" si="12"/>
        <v>0</v>
      </c>
      <c r="G48" s="378">
        <f t="shared" si="12"/>
        <v>0</v>
      </c>
      <c r="H48" s="379">
        <f t="shared" si="12"/>
        <v>0</v>
      </c>
      <c r="I48" s="388">
        <f t="shared" si="12"/>
        <v>0</v>
      </c>
      <c r="J48" s="388">
        <f t="shared" si="12"/>
        <v>0</v>
      </c>
      <c r="K48" s="389">
        <f t="shared" si="5"/>
        <v>0</v>
      </c>
      <c r="L48" s="394">
        <f t="shared" si="6"/>
        <v>1122</v>
      </c>
      <c r="M48" s="417">
        <f>Données!AE48</f>
        <v>0</v>
      </c>
      <c r="N48" s="394">
        <v>0</v>
      </c>
      <c r="O48" s="418">
        <f t="shared" si="2"/>
        <v>561</v>
      </c>
      <c r="P48" s="394">
        <f t="shared" si="7"/>
        <v>1122</v>
      </c>
      <c r="Q48" s="419">
        <f t="shared" si="3"/>
        <v>17296.674696961374</v>
      </c>
      <c r="R48" s="394">
        <f t="shared" si="8"/>
        <v>37799.610214968743</v>
      </c>
      <c r="S48" s="393">
        <f t="shared" si="9"/>
        <v>28165.381428571425</v>
      </c>
      <c r="T48" s="418">
        <f t="shared" si="10"/>
        <v>0</v>
      </c>
      <c r="U48" s="422">
        <f t="shared" si="11"/>
        <v>83261.666340501542</v>
      </c>
    </row>
    <row r="49" spans="1:21" x14ac:dyDescent="0.25">
      <c r="A49" s="148">
        <f>Données!A49</f>
        <v>5480</v>
      </c>
      <c r="B49" s="149" t="str">
        <f>Données!B49</f>
        <v>Daillens</v>
      </c>
      <c r="C49" s="392">
        <f>Données!C49</f>
        <v>1099</v>
      </c>
      <c r="D49" s="379">
        <f t="shared" si="4"/>
        <v>1000</v>
      </c>
      <c r="E49" s="379">
        <f t="shared" si="12"/>
        <v>99</v>
      </c>
      <c r="F49" s="388">
        <f t="shared" si="12"/>
        <v>0</v>
      </c>
      <c r="G49" s="378">
        <f t="shared" si="12"/>
        <v>0</v>
      </c>
      <c r="H49" s="379">
        <f t="shared" si="12"/>
        <v>0</v>
      </c>
      <c r="I49" s="388">
        <f t="shared" si="12"/>
        <v>0</v>
      </c>
      <c r="J49" s="388">
        <f t="shared" si="12"/>
        <v>0</v>
      </c>
      <c r="K49" s="389">
        <f t="shared" si="5"/>
        <v>0</v>
      </c>
      <c r="L49" s="394">
        <f t="shared" si="6"/>
        <v>2297</v>
      </c>
      <c r="M49" s="417">
        <f>Données!AE49</f>
        <v>0</v>
      </c>
      <c r="N49" s="394">
        <v>0</v>
      </c>
      <c r="O49" s="418">
        <f t="shared" si="2"/>
        <v>1099</v>
      </c>
      <c r="P49" s="394">
        <f t="shared" si="7"/>
        <v>2297</v>
      </c>
      <c r="Q49" s="419">
        <f t="shared" si="3"/>
        <v>33884.216563209542</v>
      </c>
      <c r="R49" s="394">
        <f t="shared" si="8"/>
        <v>74049.503790108109</v>
      </c>
      <c r="S49" s="393">
        <f t="shared" si="9"/>
        <v>57661.213138528132</v>
      </c>
      <c r="T49" s="418">
        <f t="shared" si="10"/>
        <v>0</v>
      </c>
      <c r="U49" s="422">
        <f t="shared" si="11"/>
        <v>165594.93349184579</v>
      </c>
    </row>
    <row r="50" spans="1:21" x14ac:dyDescent="0.25">
      <c r="A50" s="148">
        <f>Données!A50</f>
        <v>5481</v>
      </c>
      <c r="B50" s="149" t="str">
        <f>Données!B50</f>
        <v>Dizy</v>
      </c>
      <c r="C50" s="392">
        <f>Données!C50</f>
        <v>238</v>
      </c>
      <c r="D50" s="379">
        <f t="shared" si="4"/>
        <v>238</v>
      </c>
      <c r="E50" s="379">
        <f t="shared" si="12"/>
        <v>0</v>
      </c>
      <c r="F50" s="388">
        <f t="shared" si="12"/>
        <v>0</v>
      </c>
      <c r="G50" s="378">
        <f t="shared" si="12"/>
        <v>0</v>
      </c>
      <c r="H50" s="379">
        <f t="shared" si="12"/>
        <v>0</v>
      </c>
      <c r="I50" s="388">
        <f t="shared" si="12"/>
        <v>0</v>
      </c>
      <c r="J50" s="388">
        <f t="shared" si="12"/>
        <v>0</v>
      </c>
      <c r="K50" s="389">
        <f t="shared" si="5"/>
        <v>0</v>
      </c>
      <c r="L50" s="394">
        <f t="shared" si="6"/>
        <v>476</v>
      </c>
      <c r="M50" s="417">
        <f>Données!AE50</f>
        <v>0</v>
      </c>
      <c r="N50" s="394">
        <v>0</v>
      </c>
      <c r="O50" s="418">
        <f t="shared" si="2"/>
        <v>238</v>
      </c>
      <c r="P50" s="394">
        <f t="shared" si="7"/>
        <v>476</v>
      </c>
      <c r="Q50" s="419">
        <f t="shared" si="3"/>
        <v>7337.9832047714926</v>
      </c>
      <c r="R50" s="394">
        <f t="shared" si="8"/>
        <v>16036.198273017042</v>
      </c>
      <c r="S50" s="393">
        <f t="shared" si="9"/>
        <v>11948.949696969696</v>
      </c>
      <c r="T50" s="418">
        <f t="shared" si="10"/>
        <v>0</v>
      </c>
      <c r="U50" s="422">
        <f t="shared" si="11"/>
        <v>35323.131174758229</v>
      </c>
    </row>
    <row r="51" spans="1:21" x14ac:dyDescent="0.25">
      <c r="A51" s="148">
        <f>Données!A51</f>
        <v>5482</v>
      </c>
      <c r="B51" s="149" t="str">
        <f>Données!B51</f>
        <v>Eclépens</v>
      </c>
      <c r="C51" s="392">
        <f>Données!C51</f>
        <v>1211</v>
      </c>
      <c r="D51" s="379">
        <f t="shared" si="4"/>
        <v>1000</v>
      </c>
      <c r="E51" s="379">
        <f t="shared" si="12"/>
        <v>211</v>
      </c>
      <c r="F51" s="388">
        <f t="shared" si="12"/>
        <v>0</v>
      </c>
      <c r="G51" s="378">
        <f t="shared" si="12"/>
        <v>0</v>
      </c>
      <c r="H51" s="379">
        <f t="shared" si="12"/>
        <v>0</v>
      </c>
      <c r="I51" s="388">
        <f t="shared" si="12"/>
        <v>0</v>
      </c>
      <c r="J51" s="388">
        <f t="shared" si="12"/>
        <v>0</v>
      </c>
      <c r="K51" s="389">
        <f t="shared" si="5"/>
        <v>0</v>
      </c>
      <c r="L51" s="394">
        <f t="shared" si="6"/>
        <v>2633</v>
      </c>
      <c r="M51" s="417">
        <f>Données!AE51</f>
        <v>0</v>
      </c>
      <c r="N51" s="394">
        <v>0</v>
      </c>
      <c r="O51" s="418">
        <f t="shared" si="2"/>
        <v>1211</v>
      </c>
      <c r="P51" s="394">
        <f t="shared" si="7"/>
        <v>2633</v>
      </c>
      <c r="Q51" s="419">
        <f t="shared" si="3"/>
        <v>37337.38513016083</v>
      </c>
      <c r="R51" s="394">
        <f t="shared" si="8"/>
        <v>81595.950036233771</v>
      </c>
      <c r="S51" s="393">
        <f t="shared" si="9"/>
        <v>66095.765865800859</v>
      </c>
      <c r="T51" s="418">
        <f t="shared" si="10"/>
        <v>0</v>
      </c>
      <c r="U51" s="422">
        <f t="shared" si="11"/>
        <v>185029.10103219544</v>
      </c>
    </row>
    <row r="52" spans="1:21" x14ac:dyDescent="0.25">
      <c r="A52" s="148">
        <f>Données!A52</f>
        <v>5483</v>
      </c>
      <c r="B52" s="149" t="str">
        <f>Données!B52</f>
        <v>Ferreyres</v>
      </c>
      <c r="C52" s="392">
        <f>Données!C52</f>
        <v>309</v>
      </c>
      <c r="D52" s="379">
        <f t="shared" si="4"/>
        <v>309</v>
      </c>
      <c r="E52" s="379">
        <f t="shared" si="12"/>
        <v>0</v>
      </c>
      <c r="F52" s="388">
        <f t="shared" si="12"/>
        <v>0</v>
      </c>
      <c r="G52" s="378">
        <f t="shared" si="12"/>
        <v>0</v>
      </c>
      <c r="H52" s="379">
        <f t="shared" si="12"/>
        <v>0</v>
      </c>
      <c r="I52" s="388">
        <f t="shared" si="12"/>
        <v>0</v>
      </c>
      <c r="J52" s="388">
        <f t="shared" si="12"/>
        <v>0</v>
      </c>
      <c r="K52" s="389">
        <f t="shared" si="5"/>
        <v>0</v>
      </c>
      <c r="L52" s="394">
        <f t="shared" si="6"/>
        <v>618</v>
      </c>
      <c r="M52" s="417">
        <f>Données!AE52</f>
        <v>0</v>
      </c>
      <c r="N52" s="394">
        <v>0</v>
      </c>
      <c r="O52" s="418">
        <f t="shared" si="2"/>
        <v>309</v>
      </c>
      <c r="P52" s="394">
        <f t="shared" si="7"/>
        <v>618</v>
      </c>
      <c r="Q52" s="419">
        <f t="shared" si="3"/>
        <v>9527.0454213209723</v>
      </c>
      <c r="R52" s="394">
        <f t="shared" si="8"/>
        <v>20820.106161185991</v>
      </c>
      <c r="S52" s="393">
        <f t="shared" si="9"/>
        <v>15513.552337662337</v>
      </c>
      <c r="T52" s="418">
        <f t="shared" si="10"/>
        <v>0</v>
      </c>
      <c r="U52" s="422">
        <f t="shared" si="11"/>
        <v>45860.703920169304</v>
      </c>
    </row>
    <row r="53" spans="1:21" x14ac:dyDescent="0.25">
      <c r="A53" s="148">
        <f>Données!A53</f>
        <v>5484</v>
      </c>
      <c r="B53" s="149" t="str">
        <f>Données!B53</f>
        <v>Gollion</v>
      </c>
      <c r="C53" s="392">
        <f>Données!C53</f>
        <v>1064</v>
      </c>
      <c r="D53" s="379">
        <f t="shared" si="4"/>
        <v>1000</v>
      </c>
      <c r="E53" s="379">
        <f t="shared" si="12"/>
        <v>64</v>
      </c>
      <c r="F53" s="388">
        <f t="shared" si="12"/>
        <v>0</v>
      </c>
      <c r="G53" s="378">
        <f t="shared" si="12"/>
        <v>0</v>
      </c>
      <c r="H53" s="379">
        <f t="shared" si="12"/>
        <v>0</v>
      </c>
      <c r="I53" s="388">
        <f t="shared" si="12"/>
        <v>0</v>
      </c>
      <c r="J53" s="388">
        <f t="shared" si="12"/>
        <v>0</v>
      </c>
      <c r="K53" s="389">
        <f t="shared" si="5"/>
        <v>0</v>
      </c>
      <c r="L53" s="394">
        <f t="shared" si="6"/>
        <v>2192</v>
      </c>
      <c r="M53" s="417">
        <f>Données!AE53</f>
        <v>0</v>
      </c>
      <c r="N53" s="394">
        <v>0</v>
      </c>
      <c r="O53" s="418">
        <f t="shared" si="2"/>
        <v>1064</v>
      </c>
      <c r="P53" s="394">
        <f t="shared" si="7"/>
        <v>2192</v>
      </c>
      <c r="Q53" s="419">
        <f t="shared" si="3"/>
        <v>32805.101386037262</v>
      </c>
      <c r="R53" s="394">
        <f t="shared" si="8"/>
        <v>71691.239338193831</v>
      </c>
      <c r="S53" s="393">
        <f t="shared" si="9"/>
        <v>55025.41541125541</v>
      </c>
      <c r="T53" s="418">
        <f t="shared" si="10"/>
        <v>0</v>
      </c>
      <c r="U53" s="422">
        <f t="shared" si="11"/>
        <v>159521.7561354865</v>
      </c>
    </row>
    <row r="54" spans="1:21" x14ac:dyDescent="0.25">
      <c r="A54" s="148">
        <f>Données!A54</f>
        <v>5485</v>
      </c>
      <c r="B54" s="149" t="str">
        <f>Données!B54</f>
        <v>Grancy</v>
      </c>
      <c r="C54" s="392">
        <f>Données!C54</f>
        <v>540</v>
      </c>
      <c r="D54" s="379">
        <f t="shared" si="4"/>
        <v>540</v>
      </c>
      <c r="E54" s="379">
        <f t="shared" si="12"/>
        <v>0</v>
      </c>
      <c r="F54" s="388">
        <f t="shared" si="12"/>
        <v>0</v>
      </c>
      <c r="G54" s="378">
        <f t="shared" si="12"/>
        <v>0</v>
      </c>
      <c r="H54" s="379">
        <f t="shared" si="12"/>
        <v>0</v>
      </c>
      <c r="I54" s="388">
        <f t="shared" si="12"/>
        <v>0</v>
      </c>
      <c r="J54" s="388">
        <f t="shared" si="12"/>
        <v>0</v>
      </c>
      <c r="K54" s="389">
        <f t="shared" si="5"/>
        <v>0</v>
      </c>
      <c r="L54" s="394">
        <f t="shared" si="6"/>
        <v>1080</v>
      </c>
      <c r="M54" s="417">
        <f>Données!AE54</f>
        <v>0</v>
      </c>
      <c r="N54" s="394">
        <v>0</v>
      </c>
      <c r="O54" s="418">
        <f t="shared" si="2"/>
        <v>540</v>
      </c>
      <c r="P54" s="394">
        <f t="shared" si="7"/>
        <v>1080</v>
      </c>
      <c r="Q54" s="419">
        <f t="shared" si="3"/>
        <v>16649.20559065801</v>
      </c>
      <c r="R54" s="394">
        <f t="shared" si="8"/>
        <v>36384.651543820182</v>
      </c>
      <c r="S54" s="393">
        <f t="shared" si="9"/>
        <v>27111.062337662337</v>
      </c>
      <c r="T54" s="418">
        <f t="shared" si="10"/>
        <v>0</v>
      </c>
      <c r="U54" s="422">
        <f t="shared" si="11"/>
        <v>80144.919472140537</v>
      </c>
    </row>
    <row r="55" spans="1:21" x14ac:dyDescent="0.25">
      <c r="A55" s="148">
        <f>Données!A55</f>
        <v>5486</v>
      </c>
      <c r="B55" s="149" t="str">
        <f>Données!B55</f>
        <v>L'Isle</v>
      </c>
      <c r="C55" s="392">
        <f>Données!C55</f>
        <v>1096</v>
      </c>
      <c r="D55" s="379">
        <f t="shared" si="4"/>
        <v>1000</v>
      </c>
      <c r="E55" s="379">
        <f t="shared" si="12"/>
        <v>96</v>
      </c>
      <c r="F55" s="388">
        <f t="shared" si="12"/>
        <v>0</v>
      </c>
      <c r="G55" s="378">
        <f t="shared" si="12"/>
        <v>0</v>
      </c>
      <c r="H55" s="379">
        <f t="shared" si="12"/>
        <v>0</v>
      </c>
      <c r="I55" s="388">
        <f t="shared" si="12"/>
        <v>0</v>
      </c>
      <c r="J55" s="388">
        <f t="shared" si="12"/>
        <v>0</v>
      </c>
      <c r="K55" s="389">
        <f t="shared" si="5"/>
        <v>0</v>
      </c>
      <c r="L55" s="394">
        <f t="shared" si="6"/>
        <v>2288</v>
      </c>
      <c r="M55" s="417">
        <f>Données!AE55</f>
        <v>0</v>
      </c>
      <c r="N55" s="394">
        <v>0</v>
      </c>
      <c r="O55" s="418">
        <f t="shared" si="2"/>
        <v>1096</v>
      </c>
      <c r="P55" s="394">
        <f t="shared" si="7"/>
        <v>2288</v>
      </c>
      <c r="Q55" s="419">
        <f t="shared" si="3"/>
        <v>33791.72097659477</v>
      </c>
      <c r="R55" s="394">
        <f t="shared" si="8"/>
        <v>73847.366837086884</v>
      </c>
      <c r="S55" s="393">
        <f t="shared" si="9"/>
        <v>57435.287619047616</v>
      </c>
      <c r="T55" s="418">
        <f t="shared" si="10"/>
        <v>0</v>
      </c>
      <c r="U55" s="422">
        <f t="shared" si="11"/>
        <v>165074.37543272928</v>
      </c>
    </row>
    <row r="56" spans="1:21" x14ac:dyDescent="0.25">
      <c r="A56" s="148">
        <f>Données!A56</f>
        <v>5487</v>
      </c>
      <c r="B56" s="149" t="str">
        <f>Données!B56</f>
        <v>Lussery-Villars</v>
      </c>
      <c r="C56" s="392">
        <f>Données!C56</f>
        <v>468</v>
      </c>
      <c r="D56" s="379">
        <f t="shared" si="4"/>
        <v>468</v>
      </c>
      <c r="E56" s="379">
        <f t="shared" si="12"/>
        <v>0</v>
      </c>
      <c r="F56" s="388">
        <f t="shared" si="12"/>
        <v>0</v>
      </c>
      <c r="G56" s="378">
        <f t="shared" si="12"/>
        <v>0</v>
      </c>
      <c r="H56" s="379">
        <f t="shared" si="12"/>
        <v>0</v>
      </c>
      <c r="I56" s="388">
        <f t="shared" si="12"/>
        <v>0</v>
      </c>
      <c r="J56" s="388">
        <f t="shared" si="12"/>
        <v>0</v>
      </c>
      <c r="K56" s="389">
        <f t="shared" si="5"/>
        <v>0</v>
      </c>
      <c r="L56" s="394">
        <f t="shared" si="6"/>
        <v>936</v>
      </c>
      <c r="M56" s="417">
        <f>Données!AE56</f>
        <v>0</v>
      </c>
      <c r="N56" s="394">
        <v>0</v>
      </c>
      <c r="O56" s="418">
        <f t="shared" si="2"/>
        <v>468</v>
      </c>
      <c r="P56" s="394">
        <f t="shared" si="7"/>
        <v>936</v>
      </c>
      <c r="Q56" s="419">
        <f t="shared" si="3"/>
        <v>14429.311511903608</v>
      </c>
      <c r="R56" s="394">
        <f t="shared" si="8"/>
        <v>31533.364671310821</v>
      </c>
      <c r="S56" s="393">
        <f t="shared" si="9"/>
        <v>23496.254025974024</v>
      </c>
      <c r="T56" s="418">
        <f t="shared" si="10"/>
        <v>0</v>
      </c>
      <c r="U56" s="422">
        <f t="shared" si="11"/>
        <v>69458.930209188446</v>
      </c>
    </row>
    <row r="57" spans="1:21" x14ac:dyDescent="0.25">
      <c r="A57" s="148">
        <f>Données!A57</f>
        <v>5488</v>
      </c>
      <c r="B57" s="149" t="str">
        <f>Données!B57</f>
        <v>Mauraz</v>
      </c>
      <c r="C57" s="392">
        <f>Données!C57</f>
        <v>67</v>
      </c>
      <c r="D57" s="379">
        <f t="shared" si="4"/>
        <v>67</v>
      </c>
      <c r="E57" s="379">
        <f t="shared" si="12"/>
        <v>0</v>
      </c>
      <c r="F57" s="388">
        <f t="shared" si="12"/>
        <v>0</v>
      </c>
      <c r="G57" s="378">
        <f t="shared" si="12"/>
        <v>0</v>
      </c>
      <c r="H57" s="379">
        <f t="shared" si="12"/>
        <v>0</v>
      </c>
      <c r="I57" s="388">
        <f t="shared" si="12"/>
        <v>0</v>
      </c>
      <c r="J57" s="388">
        <f t="shared" si="12"/>
        <v>0</v>
      </c>
      <c r="K57" s="389">
        <f t="shared" si="5"/>
        <v>0</v>
      </c>
      <c r="L57" s="394">
        <f t="shared" si="6"/>
        <v>134</v>
      </c>
      <c r="M57" s="417">
        <f>Données!AE57</f>
        <v>0</v>
      </c>
      <c r="N57" s="394">
        <v>0</v>
      </c>
      <c r="O57" s="418">
        <f t="shared" si="2"/>
        <v>67</v>
      </c>
      <c r="P57" s="394">
        <f t="shared" si="7"/>
        <v>134</v>
      </c>
      <c r="Q57" s="419">
        <f t="shared" si="3"/>
        <v>2065.7347677297898</v>
      </c>
      <c r="R57" s="394">
        <f t="shared" si="8"/>
        <v>4514.3919508073186</v>
      </c>
      <c r="S57" s="393">
        <f t="shared" si="9"/>
        <v>3363.7799567099564</v>
      </c>
      <c r="T57" s="418">
        <f t="shared" si="10"/>
        <v>0</v>
      </c>
      <c r="U57" s="422">
        <f t="shared" si="11"/>
        <v>9943.9066752470644</v>
      </c>
    </row>
    <row r="58" spans="1:21" x14ac:dyDescent="0.25">
      <c r="A58" s="148">
        <f>Données!A58</f>
        <v>5489</v>
      </c>
      <c r="B58" s="149" t="str">
        <f>Données!B58</f>
        <v>Mex</v>
      </c>
      <c r="C58" s="392">
        <f>Données!C58</f>
        <v>809</v>
      </c>
      <c r="D58" s="379">
        <f t="shared" si="4"/>
        <v>809</v>
      </c>
      <c r="E58" s="379">
        <f t="shared" si="12"/>
        <v>0</v>
      </c>
      <c r="F58" s="388">
        <f t="shared" si="12"/>
        <v>0</v>
      </c>
      <c r="G58" s="378">
        <f t="shared" si="12"/>
        <v>0</v>
      </c>
      <c r="H58" s="379">
        <f t="shared" si="12"/>
        <v>0</v>
      </c>
      <c r="I58" s="388">
        <f t="shared" si="12"/>
        <v>0</v>
      </c>
      <c r="J58" s="388">
        <f t="shared" si="12"/>
        <v>0</v>
      </c>
      <c r="K58" s="389">
        <f t="shared" si="5"/>
        <v>0</v>
      </c>
      <c r="L58" s="394">
        <f t="shared" si="6"/>
        <v>1618</v>
      </c>
      <c r="M58" s="417">
        <f>Données!AE58</f>
        <v>0</v>
      </c>
      <c r="N58" s="394">
        <v>0</v>
      </c>
      <c r="O58" s="418">
        <f t="shared" si="2"/>
        <v>809</v>
      </c>
      <c r="P58" s="394">
        <f t="shared" si="7"/>
        <v>1618</v>
      </c>
      <c r="Q58" s="419">
        <f t="shared" si="3"/>
        <v>24942.97652378209</v>
      </c>
      <c r="R58" s="394">
        <f t="shared" si="8"/>
        <v>54509.598331389861</v>
      </c>
      <c r="S58" s="393">
        <f t="shared" si="9"/>
        <v>40616.38783549783</v>
      </c>
      <c r="T58" s="418">
        <f t="shared" si="10"/>
        <v>0</v>
      </c>
      <c r="U58" s="422">
        <f t="shared" si="11"/>
        <v>120068.96269066978</v>
      </c>
    </row>
    <row r="59" spans="1:21" x14ac:dyDescent="0.25">
      <c r="A59" s="148">
        <f>Données!A59</f>
        <v>5490</v>
      </c>
      <c r="B59" s="149" t="str">
        <f>Données!B59</f>
        <v>Moiry</v>
      </c>
      <c r="C59" s="392">
        <f>Données!C59</f>
        <v>299</v>
      </c>
      <c r="D59" s="379">
        <f t="shared" si="4"/>
        <v>299</v>
      </c>
      <c r="E59" s="379">
        <f t="shared" si="12"/>
        <v>0</v>
      </c>
      <c r="F59" s="388">
        <f t="shared" si="12"/>
        <v>0</v>
      </c>
      <c r="G59" s="378">
        <f t="shared" si="12"/>
        <v>0</v>
      </c>
      <c r="H59" s="379">
        <f t="shared" si="12"/>
        <v>0</v>
      </c>
      <c r="I59" s="388">
        <f t="shared" si="12"/>
        <v>0</v>
      </c>
      <c r="J59" s="388">
        <f t="shared" si="12"/>
        <v>0</v>
      </c>
      <c r="K59" s="389">
        <f t="shared" si="5"/>
        <v>0</v>
      </c>
      <c r="L59" s="394">
        <f t="shared" si="6"/>
        <v>598</v>
      </c>
      <c r="M59" s="417">
        <f>Données!AE59</f>
        <v>0</v>
      </c>
      <c r="N59" s="394">
        <v>0</v>
      </c>
      <c r="O59" s="418">
        <f t="shared" si="2"/>
        <v>299</v>
      </c>
      <c r="P59" s="394">
        <f t="shared" si="7"/>
        <v>598</v>
      </c>
      <c r="Q59" s="419">
        <f t="shared" si="3"/>
        <v>9218.7267992717498</v>
      </c>
      <c r="R59" s="394">
        <f t="shared" si="8"/>
        <v>20146.316317781915</v>
      </c>
      <c r="S59" s="393">
        <f t="shared" si="9"/>
        <v>15011.495627705626</v>
      </c>
      <c r="T59" s="418">
        <f t="shared" si="10"/>
        <v>0</v>
      </c>
      <c r="U59" s="422">
        <f t="shared" si="11"/>
        <v>44376.538744759295</v>
      </c>
    </row>
    <row r="60" spans="1:21" x14ac:dyDescent="0.25">
      <c r="A60" s="148">
        <f>Données!A60</f>
        <v>5491</v>
      </c>
      <c r="B60" s="149" t="str">
        <f>Données!B60</f>
        <v>Mont-la-Ville</v>
      </c>
      <c r="C60" s="392">
        <f>Données!C60</f>
        <v>495</v>
      </c>
      <c r="D60" s="379">
        <f t="shared" si="4"/>
        <v>495</v>
      </c>
      <c r="E60" s="379">
        <f t="shared" si="12"/>
        <v>0</v>
      </c>
      <c r="F60" s="388">
        <f t="shared" si="12"/>
        <v>0</v>
      </c>
      <c r="G60" s="378">
        <f t="shared" si="12"/>
        <v>0</v>
      </c>
      <c r="H60" s="379">
        <f t="shared" si="12"/>
        <v>0</v>
      </c>
      <c r="I60" s="388">
        <f t="shared" si="12"/>
        <v>0</v>
      </c>
      <c r="J60" s="388">
        <f t="shared" si="12"/>
        <v>0</v>
      </c>
      <c r="K60" s="389">
        <f t="shared" si="5"/>
        <v>0</v>
      </c>
      <c r="L60" s="394">
        <f t="shared" si="6"/>
        <v>990</v>
      </c>
      <c r="M60" s="417">
        <f>Données!AE60</f>
        <v>0</v>
      </c>
      <c r="N60" s="394">
        <v>0</v>
      </c>
      <c r="O60" s="418">
        <f t="shared" si="2"/>
        <v>495</v>
      </c>
      <c r="P60" s="394">
        <f t="shared" si="7"/>
        <v>990</v>
      </c>
      <c r="Q60" s="419">
        <f t="shared" si="3"/>
        <v>15261.771791436508</v>
      </c>
      <c r="R60" s="394">
        <f t="shared" si="8"/>
        <v>33352.597248501828</v>
      </c>
      <c r="S60" s="393">
        <f t="shared" si="9"/>
        <v>24851.807142857142</v>
      </c>
      <c r="T60" s="418">
        <f t="shared" si="10"/>
        <v>0</v>
      </c>
      <c r="U60" s="422">
        <f t="shared" si="11"/>
        <v>73466.176182795476</v>
      </c>
    </row>
    <row r="61" spans="1:21" x14ac:dyDescent="0.25">
      <c r="A61" s="148">
        <f>Données!A61</f>
        <v>5492</v>
      </c>
      <c r="B61" s="149" t="str">
        <f>Données!B61</f>
        <v>Montricher</v>
      </c>
      <c r="C61" s="392">
        <f>Données!C61</f>
        <v>943</v>
      </c>
      <c r="D61" s="379">
        <f t="shared" si="4"/>
        <v>943</v>
      </c>
      <c r="E61" s="379">
        <f t="shared" si="12"/>
        <v>0</v>
      </c>
      <c r="F61" s="388">
        <f t="shared" si="12"/>
        <v>0</v>
      </c>
      <c r="G61" s="378">
        <f t="shared" si="12"/>
        <v>0</v>
      </c>
      <c r="H61" s="379">
        <f t="shared" si="12"/>
        <v>0</v>
      </c>
      <c r="I61" s="388">
        <f t="shared" si="12"/>
        <v>0</v>
      </c>
      <c r="J61" s="388">
        <f t="shared" si="12"/>
        <v>0</v>
      </c>
      <c r="K61" s="389">
        <f t="shared" si="5"/>
        <v>0</v>
      </c>
      <c r="L61" s="394">
        <f t="shared" si="6"/>
        <v>1886</v>
      </c>
      <c r="M61" s="417">
        <f>Données!AE61</f>
        <v>0</v>
      </c>
      <c r="N61" s="394">
        <v>0</v>
      </c>
      <c r="O61" s="418">
        <f t="shared" si="2"/>
        <v>943</v>
      </c>
      <c r="P61" s="394">
        <f t="shared" si="7"/>
        <v>1886</v>
      </c>
      <c r="Q61" s="419">
        <f t="shared" si="3"/>
        <v>29074.446059241669</v>
      </c>
      <c r="R61" s="394">
        <f t="shared" si="8"/>
        <v>63538.3822330045</v>
      </c>
      <c r="S61" s="393">
        <f t="shared" si="9"/>
        <v>47343.947748917744</v>
      </c>
      <c r="T61" s="418">
        <f t="shared" si="10"/>
        <v>0</v>
      </c>
      <c r="U61" s="422">
        <f t="shared" si="11"/>
        <v>139956.77604116392</v>
      </c>
    </row>
    <row r="62" spans="1:21" x14ac:dyDescent="0.25">
      <c r="A62" s="148">
        <f>Données!A62</f>
        <v>5493</v>
      </c>
      <c r="B62" s="149" t="str">
        <f>Données!B62</f>
        <v>Orny</v>
      </c>
      <c r="C62" s="392">
        <f>Données!C62</f>
        <v>497</v>
      </c>
      <c r="D62" s="379">
        <f t="shared" si="4"/>
        <v>497</v>
      </c>
      <c r="E62" s="379">
        <f t="shared" si="12"/>
        <v>0</v>
      </c>
      <c r="F62" s="388">
        <f t="shared" si="12"/>
        <v>0</v>
      </c>
      <c r="G62" s="378">
        <f t="shared" si="12"/>
        <v>0</v>
      </c>
      <c r="H62" s="379">
        <f t="shared" si="12"/>
        <v>0</v>
      </c>
      <c r="I62" s="388">
        <f t="shared" si="12"/>
        <v>0</v>
      </c>
      <c r="J62" s="388">
        <f t="shared" si="12"/>
        <v>0</v>
      </c>
      <c r="K62" s="389">
        <f t="shared" si="5"/>
        <v>0</v>
      </c>
      <c r="L62" s="394">
        <f t="shared" si="6"/>
        <v>994</v>
      </c>
      <c r="M62" s="417">
        <f>Données!AE62</f>
        <v>0</v>
      </c>
      <c r="N62" s="394">
        <v>0</v>
      </c>
      <c r="O62" s="418">
        <f t="shared" si="2"/>
        <v>497</v>
      </c>
      <c r="P62" s="394">
        <f t="shared" si="7"/>
        <v>994</v>
      </c>
      <c r="Q62" s="419">
        <f t="shared" si="3"/>
        <v>15323.435515846353</v>
      </c>
      <c r="R62" s="394">
        <f t="shared" si="8"/>
        <v>33487.355217182645</v>
      </c>
      <c r="S62" s="393">
        <f t="shared" si="9"/>
        <v>24952.218484848483</v>
      </c>
      <c r="T62" s="418">
        <f t="shared" si="10"/>
        <v>0</v>
      </c>
      <c r="U62" s="422">
        <f t="shared" si="11"/>
        <v>73763.009217877479</v>
      </c>
    </row>
    <row r="63" spans="1:21" x14ac:dyDescent="0.25">
      <c r="A63" s="148">
        <f>Données!A63</f>
        <v>5495</v>
      </c>
      <c r="B63" s="149" t="str">
        <f>Données!B63</f>
        <v>Penthalaz</v>
      </c>
      <c r="C63" s="392">
        <f>Données!C63</f>
        <v>3177</v>
      </c>
      <c r="D63" s="379">
        <f t="shared" si="4"/>
        <v>1000</v>
      </c>
      <c r="E63" s="379">
        <f t="shared" si="12"/>
        <v>2000</v>
      </c>
      <c r="F63" s="388">
        <f t="shared" si="12"/>
        <v>177</v>
      </c>
      <c r="G63" s="378">
        <f t="shared" si="12"/>
        <v>0</v>
      </c>
      <c r="H63" s="379">
        <f t="shared" si="12"/>
        <v>0</v>
      </c>
      <c r="I63" s="388">
        <f t="shared" si="12"/>
        <v>0</v>
      </c>
      <c r="J63" s="388">
        <f t="shared" si="12"/>
        <v>0</v>
      </c>
      <c r="K63" s="389">
        <f t="shared" si="5"/>
        <v>0</v>
      </c>
      <c r="L63" s="394">
        <f t="shared" si="6"/>
        <v>8619.5</v>
      </c>
      <c r="M63" s="417">
        <f>Données!AE63</f>
        <v>0</v>
      </c>
      <c r="N63" s="394">
        <v>0</v>
      </c>
      <c r="O63" s="418">
        <f t="shared" si="2"/>
        <v>3177</v>
      </c>
      <c r="P63" s="394">
        <f t="shared" si="7"/>
        <v>8619.5</v>
      </c>
      <c r="Q63" s="419">
        <f t="shared" si="3"/>
        <v>97952.826225037948</v>
      </c>
      <c r="R63" s="394">
        <f t="shared" si="8"/>
        <v>214063.03324947538</v>
      </c>
      <c r="S63" s="393">
        <f t="shared" si="9"/>
        <v>216373.89057359306</v>
      </c>
      <c r="T63" s="418">
        <f t="shared" si="10"/>
        <v>0</v>
      </c>
      <c r="U63" s="422">
        <f t="shared" si="11"/>
        <v>528389.75004810642</v>
      </c>
    </row>
    <row r="64" spans="1:21" x14ac:dyDescent="0.25">
      <c r="A64" s="148">
        <f>Données!A64</f>
        <v>5496</v>
      </c>
      <c r="B64" s="149" t="str">
        <f>Données!B64</f>
        <v>Penthaz</v>
      </c>
      <c r="C64" s="392">
        <f>Données!C64</f>
        <v>1946</v>
      </c>
      <c r="D64" s="379">
        <f t="shared" si="4"/>
        <v>1000</v>
      </c>
      <c r="E64" s="379">
        <f t="shared" si="12"/>
        <v>946</v>
      </c>
      <c r="F64" s="388">
        <f t="shared" si="12"/>
        <v>0</v>
      </c>
      <c r="G64" s="378">
        <f t="shared" si="12"/>
        <v>0</v>
      </c>
      <c r="H64" s="379">
        <f t="shared" si="12"/>
        <v>0</v>
      </c>
      <c r="I64" s="388">
        <f t="shared" si="12"/>
        <v>0</v>
      </c>
      <c r="J64" s="388">
        <f t="shared" si="12"/>
        <v>0</v>
      </c>
      <c r="K64" s="389">
        <f t="shared" si="5"/>
        <v>0</v>
      </c>
      <c r="L64" s="394">
        <f t="shared" si="6"/>
        <v>4838</v>
      </c>
      <c r="M64" s="417">
        <f>Données!AE64</f>
        <v>0</v>
      </c>
      <c r="N64" s="394">
        <v>0</v>
      </c>
      <c r="O64" s="418">
        <f t="shared" si="2"/>
        <v>1946</v>
      </c>
      <c r="P64" s="394">
        <f t="shared" si="7"/>
        <v>4838</v>
      </c>
      <c r="Q64" s="419">
        <f t="shared" si="3"/>
        <v>59998.803850778677</v>
      </c>
      <c r="R64" s="394">
        <f t="shared" si="8"/>
        <v>131119.50352643346</v>
      </c>
      <c r="S64" s="393">
        <f t="shared" si="9"/>
        <v>121447.51813852813</v>
      </c>
      <c r="T64" s="418">
        <f t="shared" si="10"/>
        <v>0</v>
      </c>
      <c r="U64" s="422">
        <f t="shared" si="11"/>
        <v>312565.82551574026</v>
      </c>
    </row>
    <row r="65" spans="1:21" x14ac:dyDescent="0.25">
      <c r="A65" s="148">
        <f>Données!A65</f>
        <v>5497</v>
      </c>
      <c r="B65" s="149" t="str">
        <f>Données!B65</f>
        <v>Pompaples</v>
      </c>
      <c r="C65" s="392">
        <f>Données!C65</f>
        <v>930</v>
      </c>
      <c r="D65" s="379">
        <f t="shared" si="4"/>
        <v>930</v>
      </c>
      <c r="E65" s="379">
        <f t="shared" si="12"/>
        <v>0</v>
      </c>
      <c r="F65" s="388">
        <f t="shared" si="12"/>
        <v>0</v>
      </c>
      <c r="G65" s="378">
        <f t="shared" si="12"/>
        <v>0</v>
      </c>
      <c r="H65" s="379">
        <f t="shared" si="12"/>
        <v>0</v>
      </c>
      <c r="I65" s="388">
        <f t="shared" si="12"/>
        <v>0</v>
      </c>
      <c r="J65" s="388">
        <f t="shared" si="12"/>
        <v>0</v>
      </c>
      <c r="K65" s="389">
        <f t="shared" si="5"/>
        <v>0</v>
      </c>
      <c r="L65" s="394">
        <f t="shared" si="6"/>
        <v>1860</v>
      </c>
      <c r="M65" s="417">
        <f>Données!AE65</f>
        <v>0</v>
      </c>
      <c r="N65" s="394">
        <v>0</v>
      </c>
      <c r="O65" s="418">
        <f t="shared" si="2"/>
        <v>930</v>
      </c>
      <c r="P65" s="394">
        <f t="shared" si="7"/>
        <v>1860</v>
      </c>
      <c r="Q65" s="419">
        <f t="shared" si="3"/>
        <v>28673.631850577684</v>
      </c>
      <c r="R65" s="394">
        <f t="shared" si="8"/>
        <v>62662.455436579199</v>
      </c>
      <c r="S65" s="393">
        <f t="shared" si="9"/>
        <v>46691.274025974024</v>
      </c>
      <c r="T65" s="418">
        <f t="shared" si="10"/>
        <v>0</v>
      </c>
      <c r="U65" s="422">
        <f t="shared" si="11"/>
        <v>138027.36131313091</v>
      </c>
    </row>
    <row r="66" spans="1:21" x14ac:dyDescent="0.25">
      <c r="A66" s="148">
        <f>Données!A66</f>
        <v>5498</v>
      </c>
      <c r="B66" s="149" t="str">
        <f>Données!B66</f>
        <v>La Sarraz</v>
      </c>
      <c r="C66" s="392">
        <f>Données!C66</f>
        <v>2618</v>
      </c>
      <c r="D66" s="379">
        <f t="shared" si="4"/>
        <v>1000</v>
      </c>
      <c r="E66" s="379">
        <f t="shared" si="12"/>
        <v>1618</v>
      </c>
      <c r="F66" s="388">
        <f t="shared" si="12"/>
        <v>0</v>
      </c>
      <c r="G66" s="378">
        <f t="shared" si="12"/>
        <v>0</v>
      </c>
      <c r="H66" s="379">
        <f t="shared" ref="E66:J108" si="13">IF($C66&lt;H$4,0,IF($C66&gt;H$5,H$5-H$4,$C66-H$4))</f>
        <v>0</v>
      </c>
      <c r="I66" s="388">
        <f t="shared" si="13"/>
        <v>0</v>
      </c>
      <c r="J66" s="388">
        <f t="shared" si="13"/>
        <v>0</v>
      </c>
      <c r="K66" s="389">
        <f t="shared" si="5"/>
        <v>0</v>
      </c>
      <c r="L66" s="394">
        <f t="shared" si="6"/>
        <v>6854</v>
      </c>
      <c r="M66" s="417">
        <f>Données!AE66</f>
        <v>0</v>
      </c>
      <c r="N66" s="394">
        <v>0</v>
      </c>
      <c r="O66" s="418">
        <f t="shared" si="2"/>
        <v>2618</v>
      </c>
      <c r="P66" s="394">
        <f t="shared" si="7"/>
        <v>6854</v>
      </c>
      <c r="Q66" s="419">
        <f t="shared" si="3"/>
        <v>80717.815252486427</v>
      </c>
      <c r="R66" s="394">
        <f t="shared" si="8"/>
        <v>176398.18100318746</v>
      </c>
      <c r="S66" s="393">
        <f t="shared" si="9"/>
        <v>172054.83450216448</v>
      </c>
      <c r="T66" s="418">
        <f t="shared" si="10"/>
        <v>0</v>
      </c>
      <c r="U66" s="422">
        <f t="shared" si="11"/>
        <v>429170.83075783832</v>
      </c>
    </row>
    <row r="67" spans="1:21" x14ac:dyDescent="0.25">
      <c r="A67" s="148">
        <f>Données!A67</f>
        <v>5499</v>
      </c>
      <c r="B67" s="149" t="str">
        <f>Données!B67</f>
        <v>Senarclens</v>
      </c>
      <c r="C67" s="392">
        <f>Données!C67</f>
        <v>480</v>
      </c>
      <c r="D67" s="379">
        <f t="shared" si="4"/>
        <v>480</v>
      </c>
      <c r="E67" s="379">
        <f t="shared" si="13"/>
        <v>0</v>
      </c>
      <c r="F67" s="388">
        <f t="shared" si="13"/>
        <v>0</v>
      </c>
      <c r="G67" s="378">
        <f t="shared" si="13"/>
        <v>0</v>
      </c>
      <c r="H67" s="379">
        <f t="shared" si="13"/>
        <v>0</v>
      </c>
      <c r="I67" s="388">
        <f t="shared" si="13"/>
        <v>0</v>
      </c>
      <c r="J67" s="388">
        <f t="shared" si="13"/>
        <v>0</v>
      </c>
      <c r="K67" s="389">
        <f t="shared" si="5"/>
        <v>0</v>
      </c>
      <c r="L67" s="394">
        <f t="shared" si="6"/>
        <v>960</v>
      </c>
      <c r="M67" s="417">
        <f>Données!AE67</f>
        <v>0</v>
      </c>
      <c r="N67" s="394">
        <v>0</v>
      </c>
      <c r="O67" s="418">
        <f t="shared" si="2"/>
        <v>480</v>
      </c>
      <c r="P67" s="394">
        <f t="shared" si="7"/>
        <v>960</v>
      </c>
      <c r="Q67" s="419">
        <f t="shared" si="3"/>
        <v>14799.293858362675</v>
      </c>
      <c r="R67" s="394">
        <f t="shared" si="8"/>
        <v>32341.912483395714</v>
      </c>
      <c r="S67" s="393">
        <f t="shared" si="9"/>
        <v>24098.722077922077</v>
      </c>
      <c r="T67" s="418">
        <f t="shared" si="10"/>
        <v>0</v>
      </c>
      <c r="U67" s="422">
        <f t="shared" si="11"/>
        <v>71239.928419680466</v>
      </c>
    </row>
    <row r="68" spans="1:21" x14ac:dyDescent="0.25">
      <c r="A68" s="148">
        <f>Données!A68</f>
        <v>5501</v>
      </c>
      <c r="B68" s="149" t="str">
        <f>Données!B68</f>
        <v>Sullens</v>
      </c>
      <c r="C68" s="392">
        <f>Données!C68</f>
        <v>1225</v>
      </c>
      <c r="D68" s="379">
        <f t="shared" si="4"/>
        <v>1000</v>
      </c>
      <c r="E68" s="379">
        <f t="shared" si="13"/>
        <v>225</v>
      </c>
      <c r="F68" s="388">
        <f t="shared" si="13"/>
        <v>0</v>
      </c>
      <c r="G68" s="378">
        <f t="shared" si="13"/>
        <v>0</v>
      </c>
      <c r="H68" s="379">
        <f t="shared" si="13"/>
        <v>0</v>
      </c>
      <c r="I68" s="388">
        <f t="shared" si="13"/>
        <v>0</v>
      </c>
      <c r="J68" s="388">
        <f t="shared" si="13"/>
        <v>0</v>
      </c>
      <c r="K68" s="389">
        <f t="shared" si="5"/>
        <v>0</v>
      </c>
      <c r="L68" s="394">
        <f t="shared" si="6"/>
        <v>2675</v>
      </c>
      <c r="M68" s="417">
        <f>Données!AE68</f>
        <v>0</v>
      </c>
      <c r="N68" s="394">
        <v>0</v>
      </c>
      <c r="O68" s="418">
        <f t="shared" si="2"/>
        <v>1225</v>
      </c>
      <c r="P68" s="394">
        <f t="shared" si="7"/>
        <v>2675</v>
      </c>
      <c r="Q68" s="419">
        <f t="shared" si="3"/>
        <v>37769.031201029742</v>
      </c>
      <c r="R68" s="394">
        <f t="shared" si="8"/>
        <v>82539.255816999488</v>
      </c>
      <c r="S68" s="393">
        <f t="shared" si="9"/>
        <v>67150.08495670995</v>
      </c>
      <c r="T68" s="418">
        <f t="shared" si="10"/>
        <v>0</v>
      </c>
      <c r="U68" s="422">
        <f t="shared" si="11"/>
        <v>187458.37197473919</v>
      </c>
    </row>
    <row r="69" spans="1:21" x14ac:dyDescent="0.25">
      <c r="A69" s="148">
        <f>Données!A69</f>
        <v>5503</v>
      </c>
      <c r="B69" s="149" t="str">
        <f>Données!B69</f>
        <v>Vufflens-la-Ville</v>
      </c>
      <c r="C69" s="392">
        <f>Données!C69</f>
        <v>1342</v>
      </c>
      <c r="D69" s="379">
        <f t="shared" si="4"/>
        <v>1000</v>
      </c>
      <c r="E69" s="379">
        <f t="shared" si="13"/>
        <v>342</v>
      </c>
      <c r="F69" s="388">
        <f t="shared" si="13"/>
        <v>0</v>
      </c>
      <c r="G69" s="378">
        <f t="shared" si="13"/>
        <v>0</v>
      </c>
      <c r="H69" s="379">
        <f t="shared" si="13"/>
        <v>0</v>
      </c>
      <c r="I69" s="388">
        <f t="shared" si="13"/>
        <v>0</v>
      </c>
      <c r="J69" s="388">
        <f t="shared" si="13"/>
        <v>0</v>
      </c>
      <c r="K69" s="389">
        <f t="shared" si="5"/>
        <v>0</v>
      </c>
      <c r="L69" s="394">
        <f t="shared" si="6"/>
        <v>3026</v>
      </c>
      <c r="M69" s="417">
        <f>Données!AE69</f>
        <v>0</v>
      </c>
      <c r="N69" s="394">
        <v>0</v>
      </c>
      <c r="O69" s="418">
        <f t="shared" si="2"/>
        <v>1342</v>
      </c>
      <c r="P69" s="394">
        <f t="shared" si="7"/>
        <v>3026</v>
      </c>
      <c r="Q69" s="419">
        <f t="shared" si="3"/>
        <v>41376.359079005641</v>
      </c>
      <c r="R69" s="394">
        <f t="shared" si="8"/>
        <v>90422.596984827193</v>
      </c>
      <c r="S69" s="393">
        <f t="shared" si="9"/>
        <v>75961.180216450215</v>
      </c>
      <c r="T69" s="418">
        <f t="shared" si="10"/>
        <v>0</v>
      </c>
      <c r="U69" s="422">
        <f t="shared" si="11"/>
        <v>207760.13628028304</v>
      </c>
    </row>
    <row r="70" spans="1:21" x14ac:dyDescent="0.25">
      <c r="A70" s="148">
        <f>Données!A70</f>
        <v>5511</v>
      </c>
      <c r="B70" s="149" t="str">
        <f>Données!B70</f>
        <v>Assens</v>
      </c>
      <c r="C70" s="392">
        <f>Données!C70</f>
        <v>1711</v>
      </c>
      <c r="D70" s="379">
        <f t="shared" si="4"/>
        <v>1000</v>
      </c>
      <c r="E70" s="379">
        <f t="shared" si="13"/>
        <v>711</v>
      </c>
      <c r="F70" s="388">
        <f t="shared" si="13"/>
        <v>0</v>
      </c>
      <c r="G70" s="378">
        <f t="shared" si="13"/>
        <v>0</v>
      </c>
      <c r="H70" s="379">
        <f t="shared" si="13"/>
        <v>0</v>
      </c>
      <c r="I70" s="388">
        <f t="shared" si="13"/>
        <v>0</v>
      </c>
      <c r="J70" s="388">
        <f t="shared" si="13"/>
        <v>0</v>
      </c>
      <c r="K70" s="389">
        <f t="shared" si="5"/>
        <v>0</v>
      </c>
      <c r="L70" s="394">
        <f t="shared" si="6"/>
        <v>4133</v>
      </c>
      <c r="M70" s="417">
        <f>Données!AE70</f>
        <v>0</v>
      </c>
      <c r="N70" s="394">
        <v>0</v>
      </c>
      <c r="O70" s="418">
        <f t="shared" si="2"/>
        <v>1711</v>
      </c>
      <c r="P70" s="394">
        <f t="shared" si="7"/>
        <v>4133</v>
      </c>
      <c r="Q70" s="419">
        <f t="shared" si="3"/>
        <v>52753.316232621946</v>
      </c>
      <c r="R70" s="394">
        <f t="shared" si="8"/>
        <v>115285.44220643764</v>
      </c>
      <c r="S70" s="393">
        <f t="shared" si="9"/>
        <v>103750.0191125541</v>
      </c>
      <c r="T70" s="418">
        <f t="shared" si="10"/>
        <v>0</v>
      </c>
      <c r="U70" s="422">
        <f t="shared" si="11"/>
        <v>271788.77755161369</v>
      </c>
    </row>
    <row r="71" spans="1:21" x14ac:dyDescent="0.25">
      <c r="A71" s="148">
        <f>Données!A71</f>
        <v>5512</v>
      </c>
      <c r="B71" s="149" t="str">
        <f>Données!B71</f>
        <v>Bercher</v>
      </c>
      <c r="C71" s="392">
        <f>Données!C71</f>
        <v>1344</v>
      </c>
      <c r="D71" s="379">
        <f t="shared" si="4"/>
        <v>1000</v>
      </c>
      <c r="E71" s="379">
        <f t="shared" si="13"/>
        <v>344</v>
      </c>
      <c r="F71" s="388">
        <f t="shared" si="13"/>
        <v>0</v>
      </c>
      <c r="G71" s="378">
        <f t="shared" si="13"/>
        <v>0</v>
      </c>
      <c r="H71" s="379">
        <f t="shared" si="13"/>
        <v>0</v>
      </c>
      <c r="I71" s="388">
        <f t="shared" si="13"/>
        <v>0</v>
      </c>
      <c r="J71" s="388">
        <f t="shared" si="13"/>
        <v>0</v>
      </c>
      <c r="K71" s="389">
        <f t="shared" si="5"/>
        <v>0</v>
      </c>
      <c r="L71" s="394">
        <f t="shared" si="6"/>
        <v>3032</v>
      </c>
      <c r="M71" s="417">
        <f>Données!AE71</f>
        <v>0</v>
      </c>
      <c r="N71" s="394">
        <v>0</v>
      </c>
      <c r="O71" s="418">
        <f t="shared" si="2"/>
        <v>1344</v>
      </c>
      <c r="P71" s="394">
        <f t="shared" si="7"/>
        <v>3032</v>
      </c>
      <c r="Q71" s="419">
        <f t="shared" si="3"/>
        <v>41438.022803415486</v>
      </c>
      <c r="R71" s="394">
        <f t="shared" si="8"/>
        <v>90557.354953508009</v>
      </c>
      <c r="S71" s="393">
        <f t="shared" si="9"/>
        <v>76111.79722943723</v>
      </c>
      <c r="T71" s="418">
        <f t="shared" si="10"/>
        <v>0</v>
      </c>
      <c r="U71" s="422">
        <f t="shared" si="11"/>
        <v>208107.17498636071</v>
      </c>
    </row>
    <row r="72" spans="1:21" x14ac:dyDescent="0.25">
      <c r="A72" s="148">
        <f>Données!A72</f>
        <v>5514</v>
      </c>
      <c r="B72" s="149" t="str">
        <f>Données!B72</f>
        <v>Bottens</v>
      </c>
      <c r="C72" s="392">
        <f>Données!C72</f>
        <v>1358</v>
      </c>
      <c r="D72" s="379">
        <f t="shared" si="4"/>
        <v>1000</v>
      </c>
      <c r="E72" s="379">
        <f t="shared" si="13"/>
        <v>358</v>
      </c>
      <c r="F72" s="388">
        <f t="shared" si="13"/>
        <v>0</v>
      </c>
      <c r="G72" s="378">
        <f t="shared" si="13"/>
        <v>0</v>
      </c>
      <c r="H72" s="379">
        <f t="shared" si="13"/>
        <v>0</v>
      </c>
      <c r="I72" s="388">
        <f t="shared" si="13"/>
        <v>0</v>
      </c>
      <c r="J72" s="388">
        <f t="shared" si="13"/>
        <v>0</v>
      </c>
      <c r="K72" s="389">
        <f t="shared" si="5"/>
        <v>0</v>
      </c>
      <c r="L72" s="394">
        <f t="shared" si="6"/>
        <v>3074</v>
      </c>
      <c r="M72" s="417">
        <f>Données!AE72</f>
        <v>0</v>
      </c>
      <c r="N72" s="394">
        <v>0</v>
      </c>
      <c r="O72" s="418">
        <f t="shared" ref="O72:O135" si="14">IF(N72=0,C72,0)</f>
        <v>1358</v>
      </c>
      <c r="P72" s="394">
        <f t="shared" si="7"/>
        <v>3074</v>
      </c>
      <c r="Q72" s="419">
        <f t="shared" ref="Q72:Q135" si="15">$Q$6/$C$308*C72</f>
        <v>41869.668874284398</v>
      </c>
      <c r="R72" s="394">
        <f t="shared" ref="R72:R135" si="16">$R$6/$O$308*O72</f>
        <v>91500.660734273712</v>
      </c>
      <c r="S72" s="393">
        <f t="shared" ref="S72:S135" si="17">$S$6/$P$308*P72</f>
        <v>77166.116320346322</v>
      </c>
      <c r="T72" s="418">
        <f t="shared" ref="T72:T135" si="18">IF(M72&gt;N72,-R72-S72,IF(M72&lt;N72,C72*$R$311+L72*$S$311,IF(M72=N72,0,"Erreur")))</f>
        <v>0</v>
      </c>
      <c r="U72" s="422">
        <f t="shared" si="11"/>
        <v>210536.4459289044</v>
      </c>
    </row>
    <row r="73" spans="1:21" x14ac:dyDescent="0.25">
      <c r="A73" s="148">
        <f>Données!A73</f>
        <v>5515</v>
      </c>
      <c r="B73" s="149" t="str">
        <f>Données!B73</f>
        <v>Bretigny-sur-Morrens</v>
      </c>
      <c r="C73" s="392">
        <f>Données!C73</f>
        <v>898</v>
      </c>
      <c r="D73" s="379">
        <f t="shared" ref="D73:D136" si="19">IF(C73&gt;$D$5,$D$5-$D$4,C73)</f>
        <v>898</v>
      </c>
      <c r="E73" s="379">
        <f t="shared" si="13"/>
        <v>0</v>
      </c>
      <c r="F73" s="388">
        <f t="shared" si="13"/>
        <v>0</v>
      </c>
      <c r="G73" s="378">
        <f t="shared" si="13"/>
        <v>0</v>
      </c>
      <c r="H73" s="379">
        <f t="shared" si="13"/>
        <v>0</v>
      </c>
      <c r="I73" s="388">
        <f t="shared" si="13"/>
        <v>0</v>
      </c>
      <c r="J73" s="388">
        <f t="shared" si="13"/>
        <v>0</v>
      </c>
      <c r="K73" s="389">
        <f t="shared" ref="K73:K136" si="20">IF($C73&lt;K$4,0,$C73-K$4)</f>
        <v>0</v>
      </c>
      <c r="L73" s="394">
        <f t="shared" ref="L73:L136" si="21">SUMPRODUCT($D$6:$K$6,D73:K73)</f>
        <v>1796</v>
      </c>
      <c r="M73" s="417">
        <f>Données!AE73</f>
        <v>0</v>
      </c>
      <c r="N73" s="394">
        <v>0</v>
      </c>
      <c r="O73" s="418">
        <f t="shared" si="14"/>
        <v>898</v>
      </c>
      <c r="P73" s="394">
        <f t="shared" ref="P73:P136" si="22">IF(N73=0,L73,0)</f>
        <v>1796</v>
      </c>
      <c r="Q73" s="419">
        <f t="shared" si="15"/>
        <v>27687.012260020168</v>
      </c>
      <c r="R73" s="394">
        <f t="shared" si="16"/>
        <v>60506.327937686154</v>
      </c>
      <c r="S73" s="393">
        <f t="shared" si="17"/>
        <v>45084.692554112553</v>
      </c>
      <c r="T73" s="418">
        <f t="shared" si="18"/>
        <v>0</v>
      </c>
      <c r="U73" s="422">
        <f t="shared" ref="U73:U136" si="23">SUM(Q73:T73)</f>
        <v>133278.03275181889</v>
      </c>
    </row>
    <row r="74" spans="1:21" x14ac:dyDescent="0.25">
      <c r="A74" s="148">
        <f>Données!A74</f>
        <v>5516</v>
      </c>
      <c r="B74" s="149" t="str">
        <f>Données!B74</f>
        <v>Cugy</v>
      </c>
      <c r="C74" s="392">
        <f>Données!C74</f>
        <v>2790</v>
      </c>
      <c r="D74" s="379">
        <f t="shared" si="19"/>
        <v>1000</v>
      </c>
      <c r="E74" s="379">
        <f t="shared" si="13"/>
        <v>1790</v>
      </c>
      <c r="F74" s="388">
        <f t="shared" si="13"/>
        <v>0</v>
      </c>
      <c r="G74" s="378">
        <f t="shared" si="13"/>
        <v>0</v>
      </c>
      <c r="H74" s="379">
        <f t="shared" si="13"/>
        <v>0</v>
      </c>
      <c r="I74" s="388">
        <f t="shared" si="13"/>
        <v>0</v>
      </c>
      <c r="J74" s="388">
        <f t="shared" si="13"/>
        <v>0</v>
      </c>
      <c r="K74" s="389">
        <f t="shared" si="20"/>
        <v>0</v>
      </c>
      <c r="L74" s="394">
        <f t="shared" si="21"/>
        <v>7370</v>
      </c>
      <c r="M74" s="417">
        <f>Données!AE74</f>
        <v>0</v>
      </c>
      <c r="N74" s="394">
        <v>0</v>
      </c>
      <c r="O74" s="418">
        <f t="shared" si="14"/>
        <v>2790</v>
      </c>
      <c r="P74" s="394">
        <f t="shared" si="22"/>
        <v>7370</v>
      </c>
      <c r="Q74" s="419">
        <f t="shared" si="15"/>
        <v>86020.895551733047</v>
      </c>
      <c r="R74" s="394">
        <f t="shared" si="16"/>
        <v>187987.36630973758</v>
      </c>
      <c r="S74" s="393">
        <f t="shared" si="17"/>
        <v>185007.89761904761</v>
      </c>
      <c r="T74" s="418">
        <f t="shared" si="18"/>
        <v>0</v>
      </c>
      <c r="U74" s="422">
        <f t="shared" si="23"/>
        <v>459016.15948051825</v>
      </c>
    </row>
    <row r="75" spans="1:21" x14ac:dyDescent="0.25">
      <c r="A75" s="148">
        <f>Données!A75</f>
        <v>5518</v>
      </c>
      <c r="B75" s="149" t="str">
        <f>Données!B75</f>
        <v>Echallens</v>
      </c>
      <c r="C75" s="392">
        <f>Données!C75</f>
        <v>6722</v>
      </c>
      <c r="D75" s="379">
        <f t="shared" si="19"/>
        <v>1000</v>
      </c>
      <c r="E75" s="379">
        <f t="shared" si="13"/>
        <v>2000</v>
      </c>
      <c r="F75" s="388">
        <f t="shared" si="13"/>
        <v>2000</v>
      </c>
      <c r="G75" s="378">
        <f t="shared" si="13"/>
        <v>1722</v>
      </c>
      <c r="H75" s="379">
        <f t="shared" si="13"/>
        <v>0</v>
      </c>
      <c r="I75" s="388">
        <f t="shared" si="13"/>
        <v>0</v>
      </c>
      <c r="J75" s="388">
        <f t="shared" si="13"/>
        <v>0</v>
      </c>
      <c r="K75" s="389">
        <f t="shared" si="20"/>
        <v>0</v>
      </c>
      <c r="L75" s="394">
        <f t="shared" si="21"/>
        <v>21888</v>
      </c>
      <c r="M75" s="417">
        <f>Données!AE75</f>
        <v>0</v>
      </c>
      <c r="N75" s="394">
        <v>0</v>
      </c>
      <c r="O75" s="418">
        <f t="shared" si="14"/>
        <v>6722</v>
      </c>
      <c r="P75" s="394">
        <f t="shared" si="22"/>
        <v>21888</v>
      </c>
      <c r="Q75" s="419">
        <f t="shared" si="15"/>
        <v>207251.77774148728</v>
      </c>
      <c r="R75" s="394">
        <f t="shared" si="16"/>
        <v>452921.5327362208</v>
      </c>
      <c r="S75" s="393">
        <f t="shared" si="17"/>
        <v>549450.86337662337</v>
      </c>
      <c r="T75" s="418">
        <f t="shared" si="18"/>
        <v>0</v>
      </c>
      <c r="U75" s="422">
        <f t="shared" si="23"/>
        <v>1209624.1738543315</v>
      </c>
    </row>
    <row r="76" spans="1:21" x14ac:dyDescent="0.25">
      <c r="A76" s="148">
        <f>Données!A76</f>
        <v>5520</v>
      </c>
      <c r="B76" s="149" t="str">
        <f>Données!B76</f>
        <v>Essertines-sur-Yverdon</v>
      </c>
      <c r="C76" s="392">
        <f>Données!C76</f>
        <v>1148</v>
      </c>
      <c r="D76" s="379">
        <f t="shared" si="19"/>
        <v>1000</v>
      </c>
      <c r="E76" s="379">
        <f t="shared" si="13"/>
        <v>148</v>
      </c>
      <c r="F76" s="388">
        <f t="shared" si="13"/>
        <v>0</v>
      </c>
      <c r="G76" s="378">
        <f t="shared" si="13"/>
        <v>0</v>
      </c>
      <c r="H76" s="379">
        <f t="shared" si="13"/>
        <v>0</v>
      </c>
      <c r="I76" s="388">
        <f t="shared" si="13"/>
        <v>0</v>
      </c>
      <c r="J76" s="388">
        <f t="shared" si="13"/>
        <v>0</v>
      </c>
      <c r="K76" s="389">
        <f t="shared" si="20"/>
        <v>0</v>
      </c>
      <c r="L76" s="394">
        <f t="shared" si="21"/>
        <v>2444</v>
      </c>
      <c r="M76" s="417">
        <f>Données!AE76</f>
        <v>0</v>
      </c>
      <c r="N76" s="394">
        <v>0</v>
      </c>
      <c r="O76" s="418">
        <f t="shared" si="14"/>
        <v>1148</v>
      </c>
      <c r="P76" s="394">
        <f t="shared" si="22"/>
        <v>2444</v>
      </c>
      <c r="Q76" s="419">
        <f t="shared" si="15"/>
        <v>35394.977811250727</v>
      </c>
      <c r="R76" s="394">
        <f t="shared" si="16"/>
        <v>77351.074022788089</v>
      </c>
      <c r="S76" s="393">
        <f t="shared" si="17"/>
        <v>61351.329956709953</v>
      </c>
      <c r="T76" s="418">
        <f t="shared" si="18"/>
        <v>0</v>
      </c>
      <c r="U76" s="422">
        <f t="shared" si="23"/>
        <v>174097.38179074877</v>
      </c>
    </row>
    <row r="77" spans="1:21" x14ac:dyDescent="0.25">
      <c r="A77" s="148">
        <f>Données!A77</f>
        <v>5521</v>
      </c>
      <c r="B77" s="149" t="str">
        <f>Données!B77</f>
        <v>Etagnières</v>
      </c>
      <c r="C77" s="392">
        <f>Données!C77</f>
        <v>1189</v>
      </c>
      <c r="D77" s="379">
        <f t="shared" si="19"/>
        <v>1000</v>
      </c>
      <c r="E77" s="379">
        <f t="shared" si="13"/>
        <v>189</v>
      </c>
      <c r="F77" s="388">
        <f t="shared" si="13"/>
        <v>0</v>
      </c>
      <c r="G77" s="378">
        <f t="shared" si="13"/>
        <v>0</v>
      </c>
      <c r="H77" s="379">
        <f t="shared" si="13"/>
        <v>0</v>
      </c>
      <c r="I77" s="388">
        <f t="shared" si="13"/>
        <v>0</v>
      </c>
      <c r="J77" s="388">
        <f t="shared" si="13"/>
        <v>0</v>
      </c>
      <c r="K77" s="389">
        <f t="shared" si="20"/>
        <v>0</v>
      </c>
      <c r="L77" s="394">
        <f t="shared" si="21"/>
        <v>2567</v>
      </c>
      <c r="M77" s="417">
        <f>Données!AE77</f>
        <v>0</v>
      </c>
      <c r="N77" s="394">
        <v>0</v>
      </c>
      <c r="O77" s="418">
        <f t="shared" si="14"/>
        <v>1189</v>
      </c>
      <c r="P77" s="394">
        <f t="shared" si="22"/>
        <v>2567</v>
      </c>
      <c r="Q77" s="419">
        <f t="shared" si="15"/>
        <v>36659.084161652543</v>
      </c>
      <c r="R77" s="394">
        <f t="shared" si="16"/>
        <v>80113.612380744802</v>
      </c>
      <c r="S77" s="393">
        <f t="shared" si="17"/>
        <v>64438.978722943721</v>
      </c>
      <c r="T77" s="418">
        <f t="shared" si="18"/>
        <v>0</v>
      </c>
      <c r="U77" s="422">
        <f t="shared" si="23"/>
        <v>181211.67526534107</v>
      </c>
    </row>
    <row r="78" spans="1:21" x14ac:dyDescent="0.25">
      <c r="A78" s="148">
        <f>Données!A78</f>
        <v>5522</v>
      </c>
      <c r="B78" s="149" t="str">
        <f>Données!B78</f>
        <v>Fey</v>
      </c>
      <c r="C78" s="392">
        <f>Données!C78</f>
        <v>789</v>
      </c>
      <c r="D78" s="379">
        <f t="shared" si="19"/>
        <v>789</v>
      </c>
      <c r="E78" s="379">
        <f t="shared" si="13"/>
        <v>0</v>
      </c>
      <c r="F78" s="388">
        <f t="shared" si="13"/>
        <v>0</v>
      </c>
      <c r="G78" s="378">
        <f t="shared" si="13"/>
        <v>0</v>
      </c>
      <c r="H78" s="379">
        <f t="shared" si="13"/>
        <v>0</v>
      </c>
      <c r="I78" s="388">
        <f t="shared" si="13"/>
        <v>0</v>
      </c>
      <c r="J78" s="388">
        <f t="shared" si="13"/>
        <v>0</v>
      </c>
      <c r="K78" s="389">
        <f t="shared" si="20"/>
        <v>0</v>
      </c>
      <c r="L78" s="394">
        <f t="shared" si="21"/>
        <v>1578</v>
      </c>
      <c r="M78" s="417">
        <f>Données!AE78</f>
        <v>0</v>
      </c>
      <c r="N78" s="394">
        <v>0</v>
      </c>
      <c r="O78" s="418">
        <f t="shared" si="14"/>
        <v>789</v>
      </c>
      <c r="P78" s="394">
        <f t="shared" si="22"/>
        <v>1578</v>
      </c>
      <c r="Q78" s="419">
        <f t="shared" si="15"/>
        <v>24326.339279683645</v>
      </c>
      <c r="R78" s="394">
        <f t="shared" si="16"/>
        <v>53162.018644581709</v>
      </c>
      <c r="S78" s="393">
        <f t="shared" si="17"/>
        <v>39612.274415584412</v>
      </c>
      <c r="T78" s="418">
        <f t="shared" si="18"/>
        <v>0</v>
      </c>
      <c r="U78" s="422">
        <f t="shared" si="23"/>
        <v>117100.63233984976</v>
      </c>
    </row>
    <row r="79" spans="1:21" x14ac:dyDescent="0.25">
      <c r="A79" s="148">
        <f>Données!A79</f>
        <v>5523</v>
      </c>
      <c r="B79" s="149" t="str">
        <f>Données!B79</f>
        <v>Froideville</v>
      </c>
      <c r="C79" s="392">
        <f>Données!C79</f>
        <v>2731</v>
      </c>
      <c r="D79" s="379">
        <f t="shared" si="19"/>
        <v>1000</v>
      </c>
      <c r="E79" s="379">
        <f t="shared" si="13"/>
        <v>1731</v>
      </c>
      <c r="F79" s="388">
        <f t="shared" si="13"/>
        <v>0</v>
      </c>
      <c r="G79" s="378">
        <f t="shared" si="13"/>
        <v>0</v>
      </c>
      <c r="H79" s="379">
        <f t="shared" si="13"/>
        <v>0</v>
      </c>
      <c r="I79" s="388">
        <f t="shared" si="13"/>
        <v>0</v>
      </c>
      <c r="J79" s="388">
        <f t="shared" si="13"/>
        <v>0</v>
      </c>
      <c r="K79" s="389">
        <f t="shared" si="20"/>
        <v>0</v>
      </c>
      <c r="L79" s="394">
        <f t="shared" si="21"/>
        <v>7193</v>
      </c>
      <c r="M79" s="417">
        <f>Données!AE79</f>
        <v>0</v>
      </c>
      <c r="N79" s="394">
        <v>0</v>
      </c>
      <c r="O79" s="418">
        <f t="shared" si="14"/>
        <v>2731</v>
      </c>
      <c r="P79" s="394">
        <f t="shared" si="22"/>
        <v>7193</v>
      </c>
      <c r="Q79" s="419">
        <f t="shared" si="15"/>
        <v>84201.815681642634</v>
      </c>
      <c r="R79" s="394">
        <f t="shared" si="16"/>
        <v>184012.00623365355</v>
      </c>
      <c r="S79" s="393">
        <f t="shared" si="17"/>
        <v>180564.69573593073</v>
      </c>
      <c r="T79" s="418">
        <f t="shared" si="18"/>
        <v>0</v>
      </c>
      <c r="U79" s="422">
        <f t="shared" si="23"/>
        <v>448778.51765122695</v>
      </c>
    </row>
    <row r="80" spans="1:21" x14ac:dyDescent="0.25">
      <c r="A80" s="148">
        <f>Données!A80</f>
        <v>5527</v>
      </c>
      <c r="B80" s="149" t="str">
        <f>Données!B80</f>
        <v>Morrens</v>
      </c>
      <c r="C80" s="392">
        <f>Données!C80</f>
        <v>1153</v>
      </c>
      <c r="D80" s="379">
        <f t="shared" si="19"/>
        <v>1000</v>
      </c>
      <c r="E80" s="379">
        <f t="shared" si="13"/>
        <v>153</v>
      </c>
      <c r="F80" s="388">
        <f t="shared" si="13"/>
        <v>0</v>
      </c>
      <c r="G80" s="378">
        <f t="shared" si="13"/>
        <v>0</v>
      </c>
      <c r="H80" s="379">
        <f t="shared" si="13"/>
        <v>0</v>
      </c>
      <c r="I80" s="388">
        <f t="shared" si="13"/>
        <v>0</v>
      </c>
      <c r="J80" s="388">
        <f t="shared" si="13"/>
        <v>0</v>
      </c>
      <c r="K80" s="389">
        <f t="shared" si="20"/>
        <v>0</v>
      </c>
      <c r="L80" s="394">
        <f t="shared" si="21"/>
        <v>2459</v>
      </c>
      <c r="M80" s="417">
        <f>Données!AE80</f>
        <v>0</v>
      </c>
      <c r="N80" s="394">
        <v>0</v>
      </c>
      <c r="O80" s="418">
        <f t="shared" si="14"/>
        <v>1153</v>
      </c>
      <c r="P80" s="394">
        <f t="shared" si="22"/>
        <v>2459</v>
      </c>
      <c r="Q80" s="419">
        <f t="shared" si="15"/>
        <v>35549.137122275344</v>
      </c>
      <c r="R80" s="394">
        <f t="shared" si="16"/>
        <v>77687.968944490131</v>
      </c>
      <c r="S80" s="393">
        <f t="shared" si="17"/>
        <v>61727.872489177484</v>
      </c>
      <c r="T80" s="418">
        <f t="shared" si="18"/>
        <v>0</v>
      </c>
      <c r="U80" s="422">
        <f t="shared" si="23"/>
        <v>174964.97855594294</v>
      </c>
    </row>
    <row r="81" spans="1:21" x14ac:dyDescent="0.25">
      <c r="A81" s="148">
        <f>Données!A81</f>
        <v>5529</v>
      </c>
      <c r="B81" s="149" t="str">
        <f>Données!B81</f>
        <v>Oulens-sous-Echallens</v>
      </c>
      <c r="C81" s="392">
        <f>Données!C81</f>
        <v>607</v>
      </c>
      <c r="D81" s="379">
        <f t="shared" si="19"/>
        <v>607</v>
      </c>
      <c r="E81" s="379">
        <f t="shared" si="13"/>
        <v>0</v>
      </c>
      <c r="F81" s="388">
        <f t="shared" si="13"/>
        <v>0</v>
      </c>
      <c r="G81" s="378">
        <f t="shared" si="13"/>
        <v>0</v>
      </c>
      <c r="H81" s="379">
        <f t="shared" si="13"/>
        <v>0</v>
      </c>
      <c r="I81" s="388">
        <f t="shared" si="13"/>
        <v>0</v>
      </c>
      <c r="J81" s="388">
        <f t="shared" si="13"/>
        <v>0</v>
      </c>
      <c r="K81" s="389">
        <f t="shared" si="20"/>
        <v>0</v>
      </c>
      <c r="L81" s="394">
        <f t="shared" si="21"/>
        <v>1214</v>
      </c>
      <c r="M81" s="417">
        <f>Données!AE81</f>
        <v>0</v>
      </c>
      <c r="N81" s="394">
        <v>0</v>
      </c>
      <c r="O81" s="418">
        <f t="shared" si="14"/>
        <v>607</v>
      </c>
      <c r="P81" s="394">
        <f t="shared" si="22"/>
        <v>1214</v>
      </c>
      <c r="Q81" s="419">
        <f t="shared" si="15"/>
        <v>18714.940358387797</v>
      </c>
      <c r="R81" s="394">
        <f t="shared" si="16"/>
        <v>40899.043494627498</v>
      </c>
      <c r="S81" s="393">
        <f t="shared" si="17"/>
        <v>30474.842294372291</v>
      </c>
      <c r="T81" s="418">
        <f t="shared" si="18"/>
        <v>0</v>
      </c>
      <c r="U81" s="422">
        <f t="shared" si="23"/>
        <v>90088.82614738759</v>
      </c>
    </row>
    <row r="82" spans="1:21" x14ac:dyDescent="0.25">
      <c r="A82" s="148">
        <f>Données!A82</f>
        <v>5530</v>
      </c>
      <c r="B82" s="149" t="str">
        <f>Données!B82</f>
        <v>Pailly</v>
      </c>
      <c r="C82" s="392">
        <f>Données!C82</f>
        <v>576</v>
      </c>
      <c r="D82" s="379">
        <f t="shared" si="19"/>
        <v>576</v>
      </c>
      <c r="E82" s="379">
        <f t="shared" si="13"/>
        <v>0</v>
      </c>
      <c r="F82" s="388">
        <f t="shared" si="13"/>
        <v>0</v>
      </c>
      <c r="G82" s="378">
        <f t="shared" si="13"/>
        <v>0</v>
      </c>
      <c r="H82" s="379">
        <f t="shared" si="13"/>
        <v>0</v>
      </c>
      <c r="I82" s="388">
        <f t="shared" si="13"/>
        <v>0</v>
      </c>
      <c r="J82" s="388">
        <f t="shared" si="13"/>
        <v>0</v>
      </c>
      <c r="K82" s="389">
        <f t="shared" si="20"/>
        <v>0</v>
      </c>
      <c r="L82" s="394">
        <f t="shared" si="21"/>
        <v>1152</v>
      </c>
      <c r="M82" s="417">
        <f>Données!AE82</f>
        <v>0</v>
      </c>
      <c r="N82" s="394">
        <v>0</v>
      </c>
      <c r="O82" s="418">
        <f t="shared" si="14"/>
        <v>576</v>
      </c>
      <c r="P82" s="394">
        <f t="shared" si="22"/>
        <v>1152</v>
      </c>
      <c r="Q82" s="419">
        <f t="shared" si="15"/>
        <v>17759.152630035209</v>
      </c>
      <c r="R82" s="394">
        <f t="shared" si="16"/>
        <v>38810.294980074861</v>
      </c>
      <c r="S82" s="393">
        <f t="shared" si="17"/>
        <v>28918.46649350649</v>
      </c>
      <c r="T82" s="418">
        <f t="shared" si="18"/>
        <v>0</v>
      </c>
      <c r="U82" s="422">
        <f t="shared" si="23"/>
        <v>85487.914103616567</v>
      </c>
    </row>
    <row r="83" spans="1:21" x14ac:dyDescent="0.25">
      <c r="A83" s="148">
        <f>Données!A83</f>
        <v>5531</v>
      </c>
      <c r="B83" s="149" t="str">
        <f>Données!B83</f>
        <v>Penthéréaz</v>
      </c>
      <c r="C83" s="392">
        <f>Données!C83</f>
        <v>430</v>
      </c>
      <c r="D83" s="379">
        <f t="shared" si="19"/>
        <v>430</v>
      </c>
      <c r="E83" s="379">
        <f t="shared" si="13"/>
        <v>0</v>
      </c>
      <c r="F83" s="388">
        <f t="shared" si="13"/>
        <v>0</v>
      </c>
      <c r="G83" s="378">
        <f t="shared" si="13"/>
        <v>0</v>
      </c>
      <c r="H83" s="379">
        <f t="shared" si="13"/>
        <v>0</v>
      </c>
      <c r="I83" s="388">
        <f t="shared" si="13"/>
        <v>0</v>
      </c>
      <c r="J83" s="388">
        <f t="shared" si="13"/>
        <v>0</v>
      </c>
      <c r="K83" s="389">
        <f t="shared" si="20"/>
        <v>0</v>
      </c>
      <c r="L83" s="394">
        <f t="shared" si="21"/>
        <v>860</v>
      </c>
      <c r="M83" s="417">
        <f>Données!AE83</f>
        <v>0</v>
      </c>
      <c r="N83" s="394">
        <v>0</v>
      </c>
      <c r="O83" s="418">
        <f t="shared" si="14"/>
        <v>430</v>
      </c>
      <c r="P83" s="394">
        <f t="shared" si="22"/>
        <v>860</v>
      </c>
      <c r="Q83" s="419">
        <f t="shared" si="15"/>
        <v>13257.700748116562</v>
      </c>
      <c r="R83" s="394">
        <f t="shared" si="16"/>
        <v>28972.963266375329</v>
      </c>
      <c r="S83" s="393">
        <f t="shared" si="17"/>
        <v>21588.438528138526</v>
      </c>
      <c r="T83" s="418">
        <f t="shared" si="18"/>
        <v>0</v>
      </c>
      <c r="U83" s="422">
        <f t="shared" si="23"/>
        <v>63819.102542630419</v>
      </c>
    </row>
    <row r="84" spans="1:21" x14ac:dyDescent="0.25">
      <c r="A84" s="148">
        <f>Données!A84</f>
        <v>5533</v>
      </c>
      <c r="B84" s="149" t="str">
        <f>Données!B84</f>
        <v>Poliez-Pittet</v>
      </c>
      <c r="C84" s="392">
        <f>Données!C84</f>
        <v>850</v>
      </c>
      <c r="D84" s="379">
        <f t="shared" si="19"/>
        <v>850</v>
      </c>
      <c r="E84" s="379">
        <f t="shared" si="13"/>
        <v>0</v>
      </c>
      <c r="F84" s="388">
        <f t="shared" si="13"/>
        <v>0</v>
      </c>
      <c r="G84" s="378">
        <f t="shared" si="13"/>
        <v>0</v>
      </c>
      <c r="H84" s="379">
        <f t="shared" si="13"/>
        <v>0</v>
      </c>
      <c r="I84" s="388">
        <f t="shared" si="13"/>
        <v>0</v>
      </c>
      <c r="J84" s="388">
        <f t="shared" si="13"/>
        <v>0</v>
      </c>
      <c r="K84" s="389">
        <f t="shared" si="20"/>
        <v>0</v>
      </c>
      <c r="L84" s="394">
        <f t="shared" si="21"/>
        <v>1700</v>
      </c>
      <c r="M84" s="417">
        <f>Données!AE84</f>
        <v>0</v>
      </c>
      <c r="N84" s="394">
        <v>0</v>
      </c>
      <c r="O84" s="418">
        <f t="shared" si="14"/>
        <v>850</v>
      </c>
      <c r="P84" s="394">
        <f t="shared" si="22"/>
        <v>1700</v>
      </c>
      <c r="Q84" s="419">
        <f t="shared" si="15"/>
        <v>26207.082874183903</v>
      </c>
      <c r="R84" s="394">
        <f t="shared" si="16"/>
        <v>57272.136689346582</v>
      </c>
      <c r="S84" s="393">
        <f t="shared" si="17"/>
        <v>42674.820346320346</v>
      </c>
      <c r="T84" s="418">
        <f t="shared" si="18"/>
        <v>0</v>
      </c>
      <c r="U84" s="422">
        <f t="shared" si="23"/>
        <v>126154.03990985084</v>
      </c>
    </row>
    <row r="85" spans="1:21" x14ac:dyDescent="0.25">
      <c r="A85" s="148">
        <f>Données!A85</f>
        <v>5534</v>
      </c>
      <c r="B85" s="149" t="str">
        <f>Données!B85</f>
        <v>Rueyres</v>
      </c>
      <c r="C85" s="392">
        <f>Données!C85</f>
        <v>304</v>
      </c>
      <c r="D85" s="379">
        <f t="shared" si="19"/>
        <v>304</v>
      </c>
      <c r="E85" s="379">
        <f t="shared" si="13"/>
        <v>0</v>
      </c>
      <c r="F85" s="388">
        <f t="shared" si="13"/>
        <v>0</v>
      </c>
      <c r="G85" s="378">
        <f t="shared" si="13"/>
        <v>0</v>
      </c>
      <c r="H85" s="379">
        <f t="shared" si="13"/>
        <v>0</v>
      </c>
      <c r="I85" s="388">
        <f t="shared" si="13"/>
        <v>0</v>
      </c>
      <c r="J85" s="388">
        <f t="shared" si="13"/>
        <v>0</v>
      </c>
      <c r="K85" s="389">
        <f t="shared" si="20"/>
        <v>0</v>
      </c>
      <c r="L85" s="394">
        <f t="shared" si="21"/>
        <v>608</v>
      </c>
      <c r="M85" s="417">
        <f>Données!AE85</f>
        <v>0</v>
      </c>
      <c r="N85" s="394">
        <v>0</v>
      </c>
      <c r="O85" s="418">
        <f t="shared" si="14"/>
        <v>304</v>
      </c>
      <c r="P85" s="394">
        <f t="shared" si="22"/>
        <v>608</v>
      </c>
      <c r="Q85" s="419">
        <f t="shared" si="15"/>
        <v>9372.8861102963601</v>
      </c>
      <c r="R85" s="394">
        <f t="shared" si="16"/>
        <v>20483.211239483953</v>
      </c>
      <c r="S85" s="393">
        <f t="shared" si="17"/>
        <v>15262.523982683982</v>
      </c>
      <c r="T85" s="418">
        <f t="shared" si="18"/>
        <v>0</v>
      </c>
      <c r="U85" s="422">
        <f t="shared" si="23"/>
        <v>45118.621332464296</v>
      </c>
    </row>
    <row r="86" spans="1:21" x14ac:dyDescent="0.25">
      <c r="A86" s="148">
        <f>Données!A86</f>
        <v>5535</v>
      </c>
      <c r="B86" s="149" t="str">
        <f>Données!B86</f>
        <v>Saint-Barthélemy</v>
      </c>
      <c r="C86" s="392">
        <f>Données!C86</f>
        <v>837</v>
      </c>
      <c r="D86" s="379">
        <f t="shared" si="19"/>
        <v>837</v>
      </c>
      <c r="E86" s="379">
        <f t="shared" si="13"/>
        <v>0</v>
      </c>
      <c r="F86" s="388">
        <f t="shared" si="13"/>
        <v>0</v>
      </c>
      <c r="G86" s="378">
        <f t="shared" si="13"/>
        <v>0</v>
      </c>
      <c r="H86" s="379">
        <f t="shared" si="13"/>
        <v>0</v>
      </c>
      <c r="I86" s="388">
        <f t="shared" si="13"/>
        <v>0</v>
      </c>
      <c r="J86" s="388">
        <f t="shared" si="13"/>
        <v>0</v>
      </c>
      <c r="K86" s="389">
        <f t="shared" si="20"/>
        <v>0</v>
      </c>
      <c r="L86" s="394">
        <f t="shared" si="21"/>
        <v>1674</v>
      </c>
      <c r="M86" s="417">
        <f>Données!AE86</f>
        <v>0</v>
      </c>
      <c r="N86" s="394">
        <v>0</v>
      </c>
      <c r="O86" s="418">
        <f t="shared" si="14"/>
        <v>837</v>
      </c>
      <c r="P86" s="394">
        <f t="shared" si="22"/>
        <v>1674</v>
      </c>
      <c r="Q86" s="419">
        <f t="shared" si="15"/>
        <v>25806.268665519914</v>
      </c>
      <c r="R86" s="394">
        <f t="shared" si="16"/>
        <v>56396.209892921281</v>
      </c>
      <c r="S86" s="393">
        <f t="shared" si="17"/>
        <v>42022.146623376619</v>
      </c>
      <c r="T86" s="418">
        <f t="shared" si="18"/>
        <v>0</v>
      </c>
      <c r="U86" s="422">
        <f t="shared" si="23"/>
        <v>124224.6251818178</v>
      </c>
    </row>
    <row r="87" spans="1:21" x14ac:dyDescent="0.25">
      <c r="A87" s="148">
        <f>Données!A87</f>
        <v>5537</v>
      </c>
      <c r="B87" s="149" t="str">
        <f>Données!B87</f>
        <v>Villars-le-Terroir</v>
      </c>
      <c r="C87" s="392">
        <f>Données!C87</f>
        <v>1307</v>
      </c>
      <c r="D87" s="379">
        <f t="shared" si="19"/>
        <v>1000</v>
      </c>
      <c r="E87" s="379">
        <f t="shared" si="13"/>
        <v>307</v>
      </c>
      <c r="F87" s="388">
        <f t="shared" si="13"/>
        <v>0</v>
      </c>
      <c r="G87" s="378">
        <f t="shared" si="13"/>
        <v>0</v>
      </c>
      <c r="H87" s="379">
        <f t="shared" si="13"/>
        <v>0</v>
      </c>
      <c r="I87" s="388">
        <f t="shared" si="13"/>
        <v>0</v>
      </c>
      <c r="J87" s="388">
        <f t="shared" si="13"/>
        <v>0</v>
      </c>
      <c r="K87" s="389">
        <f t="shared" si="20"/>
        <v>0</v>
      </c>
      <c r="L87" s="394">
        <f t="shared" si="21"/>
        <v>2921</v>
      </c>
      <c r="M87" s="417">
        <f>Données!AE87</f>
        <v>0</v>
      </c>
      <c r="N87" s="394">
        <v>0</v>
      </c>
      <c r="O87" s="418">
        <f t="shared" si="14"/>
        <v>1307</v>
      </c>
      <c r="P87" s="394">
        <f t="shared" si="22"/>
        <v>2921</v>
      </c>
      <c r="Q87" s="419">
        <f t="shared" si="15"/>
        <v>40297.243901833368</v>
      </c>
      <c r="R87" s="394">
        <f t="shared" si="16"/>
        <v>88064.332532912915</v>
      </c>
      <c r="S87" s="393">
        <f t="shared" si="17"/>
        <v>73325.382489177486</v>
      </c>
      <c r="T87" s="418">
        <f t="shared" si="18"/>
        <v>0</v>
      </c>
      <c r="U87" s="422">
        <f t="shared" si="23"/>
        <v>201686.95892392378</v>
      </c>
    </row>
    <row r="88" spans="1:21" x14ac:dyDescent="0.25">
      <c r="A88" s="148">
        <f>Données!A88</f>
        <v>5539</v>
      </c>
      <c r="B88" s="149" t="str">
        <f>Données!B88</f>
        <v>Vuarrens</v>
      </c>
      <c r="C88" s="392">
        <f>Données!C88</f>
        <v>1120</v>
      </c>
      <c r="D88" s="379">
        <f t="shared" si="19"/>
        <v>1000</v>
      </c>
      <c r="E88" s="379">
        <f t="shared" si="13"/>
        <v>120</v>
      </c>
      <c r="F88" s="388">
        <f t="shared" si="13"/>
        <v>0</v>
      </c>
      <c r="G88" s="378">
        <f t="shared" si="13"/>
        <v>0</v>
      </c>
      <c r="H88" s="379">
        <f t="shared" si="13"/>
        <v>0</v>
      </c>
      <c r="I88" s="388">
        <f t="shared" si="13"/>
        <v>0</v>
      </c>
      <c r="J88" s="388">
        <f t="shared" si="13"/>
        <v>0</v>
      </c>
      <c r="K88" s="389">
        <f t="shared" si="20"/>
        <v>0</v>
      </c>
      <c r="L88" s="394">
        <f t="shared" si="21"/>
        <v>2360</v>
      </c>
      <c r="M88" s="417">
        <f>Données!AE88</f>
        <v>0</v>
      </c>
      <c r="N88" s="394">
        <v>0</v>
      </c>
      <c r="O88" s="418">
        <f t="shared" si="14"/>
        <v>1120</v>
      </c>
      <c r="P88" s="394">
        <f t="shared" si="22"/>
        <v>2360</v>
      </c>
      <c r="Q88" s="419">
        <f t="shared" si="15"/>
        <v>34531.68566951291</v>
      </c>
      <c r="R88" s="394">
        <f t="shared" si="16"/>
        <v>75464.462461256669</v>
      </c>
      <c r="S88" s="393">
        <f t="shared" si="17"/>
        <v>59242.691774891769</v>
      </c>
      <c r="T88" s="418">
        <f t="shared" si="18"/>
        <v>0</v>
      </c>
      <c r="U88" s="422">
        <f t="shared" si="23"/>
        <v>169238.83990566136</v>
      </c>
    </row>
    <row r="89" spans="1:21" x14ac:dyDescent="0.25">
      <c r="A89" s="148">
        <f>Données!A89</f>
        <v>5540</v>
      </c>
      <c r="B89" s="149" t="str">
        <f>Données!B89</f>
        <v>Montilliez</v>
      </c>
      <c r="C89" s="392">
        <f>Données!C89</f>
        <v>1874</v>
      </c>
      <c r="D89" s="379">
        <f t="shared" si="19"/>
        <v>1000</v>
      </c>
      <c r="E89" s="379">
        <f t="shared" si="13"/>
        <v>874</v>
      </c>
      <c r="F89" s="388">
        <f t="shared" si="13"/>
        <v>0</v>
      </c>
      <c r="G89" s="378">
        <f t="shared" si="13"/>
        <v>0</v>
      </c>
      <c r="H89" s="379">
        <f t="shared" si="13"/>
        <v>0</v>
      </c>
      <c r="I89" s="388">
        <f t="shared" si="13"/>
        <v>0</v>
      </c>
      <c r="J89" s="388">
        <f t="shared" si="13"/>
        <v>0</v>
      </c>
      <c r="K89" s="389">
        <f t="shared" si="20"/>
        <v>0</v>
      </c>
      <c r="L89" s="394">
        <f t="shared" si="21"/>
        <v>4622</v>
      </c>
      <c r="M89" s="417">
        <f>Données!AE89</f>
        <v>0</v>
      </c>
      <c r="N89" s="394">
        <v>0</v>
      </c>
      <c r="O89" s="418">
        <f t="shared" si="14"/>
        <v>1874</v>
      </c>
      <c r="P89" s="394">
        <f t="shared" si="22"/>
        <v>4622</v>
      </c>
      <c r="Q89" s="419">
        <f t="shared" si="15"/>
        <v>57778.909772024272</v>
      </c>
      <c r="R89" s="394">
        <f t="shared" si="16"/>
        <v>126268.2166539241</v>
      </c>
      <c r="S89" s="393">
        <f t="shared" si="17"/>
        <v>116025.30567099566</v>
      </c>
      <c r="T89" s="418">
        <f t="shared" si="18"/>
        <v>0</v>
      </c>
      <c r="U89" s="422">
        <f t="shared" si="23"/>
        <v>300072.43209694402</v>
      </c>
    </row>
    <row r="90" spans="1:21" x14ac:dyDescent="0.25">
      <c r="A90" s="148">
        <f>Données!A90</f>
        <v>5541</v>
      </c>
      <c r="B90" s="149" t="str">
        <f>Données!B90</f>
        <v>Goumoëns</v>
      </c>
      <c r="C90" s="392">
        <f>Données!C90</f>
        <v>1211</v>
      </c>
      <c r="D90" s="379">
        <f t="shared" si="19"/>
        <v>1000</v>
      </c>
      <c r="E90" s="379">
        <f t="shared" si="13"/>
        <v>211</v>
      </c>
      <c r="F90" s="388">
        <f t="shared" si="13"/>
        <v>0</v>
      </c>
      <c r="G90" s="378">
        <f t="shared" si="13"/>
        <v>0</v>
      </c>
      <c r="H90" s="379">
        <f t="shared" si="13"/>
        <v>0</v>
      </c>
      <c r="I90" s="388">
        <f t="shared" si="13"/>
        <v>0</v>
      </c>
      <c r="J90" s="388">
        <f t="shared" si="13"/>
        <v>0</v>
      </c>
      <c r="K90" s="389">
        <f t="shared" si="20"/>
        <v>0</v>
      </c>
      <c r="L90" s="394">
        <f t="shared" si="21"/>
        <v>2633</v>
      </c>
      <c r="M90" s="417">
        <f>Données!AE90</f>
        <v>0</v>
      </c>
      <c r="N90" s="394">
        <v>0</v>
      </c>
      <c r="O90" s="418">
        <f t="shared" si="14"/>
        <v>1211</v>
      </c>
      <c r="P90" s="394">
        <f t="shared" si="22"/>
        <v>2633</v>
      </c>
      <c r="Q90" s="419">
        <f t="shared" si="15"/>
        <v>37337.38513016083</v>
      </c>
      <c r="R90" s="394">
        <f t="shared" si="16"/>
        <v>81595.950036233771</v>
      </c>
      <c r="S90" s="393">
        <f t="shared" si="17"/>
        <v>66095.765865800859</v>
      </c>
      <c r="T90" s="418">
        <f t="shared" si="18"/>
        <v>0</v>
      </c>
      <c r="U90" s="422">
        <f t="shared" si="23"/>
        <v>185029.10103219544</v>
      </c>
    </row>
    <row r="91" spans="1:21" x14ac:dyDescent="0.25">
      <c r="A91" s="148">
        <f>Données!A91</f>
        <v>5551</v>
      </c>
      <c r="B91" s="149" t="str">
        <f>Données!B91</f>
        <v>Bonvillars</v>
      </c>
      <c r="C91" s="392">
        <f>Données!C91</f>
        <v>518</v>
      </c>
      <c r="D91" s="379">
        <f t="shared" si="19"/>
        <v>518</v>
      </c>
      <c r="E91" s="379">
        <f t="shared" si="13"/>
        <v>0</v>
      </c>
      <c r="F91" s="388">
        <f t="shared" si="13"/>
        <v>0</v>
      </c>
      <c r="G91" s="378">
        <f t="shared" si="13"/>
        <v>0</v>
      </c>
      <c r="H91" s="379">
        <f t="shared" si="13"/>
        <v>0</v>
      </c>
      <c r="I91" s="388">
        <f t="shared" si="13"/>
        <v>0</v>
      </c>
      <c r="J91" s="388">
        <f t="shared" si="13"/>
        <v>0</v>
      </c>
      <c r="K91" s="389">
        <f t="shared" si="20"/>
        <v>0</v>
      </c>
      <c r="L91" s="394">
        <f t="shared" si="21"/>
        <v>1036</v>
      </c>
      <c r="M91" s="417">
        <f>Données!AE91</f>
        <v>0</v>
      </c>
      <c r="N91" s="394">
        <v>0</v>
      </c>
      <c r="O91" s="418">
        <f t="shared" si="14"/>
        <v>518</v>
      </c>
      <c r="P91" s="394">
        <f t="shared" si="22"/>
        <v>1036</v>
      </c>
      <c r="Q91" s="419">
        <f t="shared" si="15"/>
        <v>15970.904622149719</v>
      </c>
      <c r="R91" s="394">
        <f t="shared" si="16"/>
        <v>34902.313888331206</v>
      </c>
      <c r="S91" s="393">
        <f t="shared" si="17"/>
        <v>26006.537575757575</v>
      </c>
      <c r="T91" s="418">
        <f t="shared" si="18"/>
        <v>0</v>
      </c>
      <c r="U91" s="422">
        <f t="shared" si="23"/>
        <v>76879.7560862385</v>
      </c>
    </row>
    <row r="92" spans="1:21" x14ac:dyDescent="0.25">
      <c r="A92" s="148">
        <f>Données!A92</f>
        <v>5552</v>
      </c>
      <c r="B92" s="149" t="str">
        <f>Données!B92</f>
        <v>Bullet</v>
      </c>
      <c r="C92" s="392">
        <f>Données!C92</f>
        <v>682</v>
      </c>
      <c r="D92" s="379">
        <f t="shared" si="19"/>
        <v>682</v>
      </c>
      <c r="E92" s="379">
        <f t="shared" si="13"/>
        <v>0</v>
      </c>
      <c r="F92" s="388">
        <f t="shared" si="13"/>
        <v>0</v>
      </c>
      <c r="G92" s="378">
        <f t="shared" si="13"/>
        <v>0</v>
      </c>
      <c r="H92" s="379">
        <f t="shared" si="13"/>
        <v>0</v>
      </c>
      <c r="I92" s="388">
        <f t="shared" si="13"/>
        <v>0</v>
      </c>
      <c r="J92" s="388">
        <f t="shared" si="13"/>
        <v>0</v>
      </c>
      <c r="K92" s="389">
        <f t="shared" si="20"/>
        <v>0</v>
      </c>
      <c r="L92" s="394">
        <f t="shared" si="21"/>
        <v>1364</v>
      </c>
      <c r="M92" s="417">
        <f>Données!AE92</f>
        <v>0</v>
      </c>
      <c r="N92" s="394">
        <v>0</v>
      </c>
      <c r="O92" s="418">
        <f t="shared" si="14"/>
        <v>682</v>
      </c>
      <c r="P92" s="394">
        <f t="shared" si="22"/>
        <v>1364</v>
      </c>
      <c r="Q92" s="419">
        <f t="shared" si="15"/>
        <v>21027.330023756967</v>
      </c>
      <c r="R92" s="394">
        <f t="shared" si="16"/>
        <v>45952.467320158081</v>
      </c>
      <c r="S92" s="393">
        <f t="shared" si="17"/>
        <v>34240.26761904762</v>
      </c>
      <c r="T92" s="418">
        <f t="shared" si="18"/>
        <v>0</v>
      </c>
      <c r="U92" s="422">
        <f t="shared" si="23"/>
        <v>101220.06496296267</v>
      </c>
    </row>
    <row r="93" spans="1:21" x14ac:dyDescent="0.25">
      <c r="A93" s="148">
        <f>Données!A93</f>
        <v>5553</v>
      </c>
      <c r="B93" s="149" t="str">
        <f>Données!B93</f>
        <v>Champagne</v>
      </c>
      <c r="C93" s="392">
        <f>Données!C93</f>
        <v>1071</v>
      </c>
      <c r="D93" s="379">
        <f t="shared" si="19"/>
        <v>1000</v>
      </c>
      <c r="E93" s="379">
        <f t="shared" si="13"/>
        <v>71</v>
      </c>
      <c r="F93" s="388">
        <f t="shared" si="13"/>
        <v>0</v>
      </c>
      <c r="G93" s="378">
        <f t="shared" si="13"/>
        <v>0</v>
      </c>
      <c r="H93" s="379">
        <f t="shared" si="13"/>
        <v>0</v>
      </c>
      <c r="I93" s="388">
        <f t="shared" si="13"/>
        <v>0</v>
      </c>
      <c r="J93" s="388">
        <f t="shared" si="13"/>
        <v>0</v>
      </c>
      <c r="K93" s="389">
        <f t="shared" si="20"/>
        <v>0</v>
      </c>
      <c r="L93" s="394">
        <f t="shared" si="21"/>
        <v>2213</v>
      </c>
      <c r="M93" s="417">
        <f>Données!AE93</f>
        <v>0</v>
      </c>
      <c r="N93" s="394">
        <v>0</v>
      </c>
      <c r="O93" s="418">
        <f t="shared" si="14"/>
        <v>1071</v>
      </c>
      <c r="P93" s="394">
        <f t="shared" si="22"/>
        <v>2213</v>
      </c>
      <c r="Q93" s="419">
        <f t="shared" si="15"/>
        <v>33020.924421471718</v>
      </c>
      <c r="R93" s="394">
        <f t="shared" si="16"/>
        <v>72162.892228576689</v>
      </c>
      <c r="S93" s="393">
        <f t="shared" si="17"/>
        <v>55552.574956709956</v>
      </c>
      <c r="T93" s="418">
        <f t="shared" si="18"/>
        <v>0</v>
      </c>
      <c r="U93" s="422">
        <f t="shared" si="23"/>
        <v>160736.39160675835</v>
      </c>
    </row>
    <row r="94" spans="1:21" x14ac:dyDescent="0.25">
      <c r="A94" s="148">
        <f>Données!A94</f>
        <v>5554</v>
      </c>
      <c r="B94" s="149" t="str">
        <f>Données!B94</f>
        <v>Concise</v>
      </c>
      <c r="C94" s="392">
        <f>Données!C94</f>
        <v>1025</v>
      </c>
      <c r="D94" s="379">
        <f t="shared" si="19"/>
        <v>1000</v>
      </c>
      <c r="E94" s="379">
        <f t="shared" si="13"/>
        <v>25</v>
      </c>
      <c r="F94" s="388">
        <f t="shared" si="13"/>
        <v>0</v>
      </c>
      <c r="G94" s="378">
        <f t="shared" si="13"/>
        <v>0</v>
      </c>
      <c r="H94" s="379">
        <f t="shared" si="13"/>
        <v>0</v>
      </c>
      <c r="I94" s="388">
        <f t="shared" si="13"/>
        <v>0</v>
      </c>
      <c r="J94" s="388">
        <f t="shared" si="13"/>
        <v>0</v>
      </c>
      <c r="K94" s="389">
        <f t="shared" si="20"/>
        <v>0</v>
      </c>
      <c r="L94" s="394">
        <f t="shared" si="21"/>
        <v>2075</v>
      </c>
      <c r="M94" s="417">
        <f>Données!AE94</f>
        <v>0</v>
      </c>
      <c r="N94" s="394">
        <v>0</v>
      </c>
      <c r="O94" s="418">
        <f t="shared" si="14"/>
        <v>1025</v>
      </c>
      <c r="P94" s="394">
        <f t="shared" si="22"/>
        <v>2075</v>
      </c>
      <c r="Q94" s="419">
        <f t="shared" si="15"/>
        <v>31602.658760045295</v>
      </c>
      <c r="R94" s="394">
        <f t="shared" si="16"/>
        <v>69063.458948917934</v>
      </c>
      <c r="S94" s="393">
        <f t="shared" si="17"/>
        <v>52088.383658008657</v>
      </c>
      <c r="T94" s="418">
        <f t="shared" si="18"/>
        <v>0</v>
      </c>
      <c r="U94" s="422">
        <f t="shared" si="23"/>
        <v>152754.50136697188</v>
      </c>
    </row>
    <row r="95" spans="1:21" x14ac:dyDescent="0.25">
      <c r="A95" s="148">
        <f>Données!A95</f>
        <v>5555</v>
      </c>
      <c r="B95" s="149" t="str">
        <f>Données!B95</f>
        <v>Corcelles-près-Concise</v>
      </c>
      <c r="C95" s="392">
        <f>Données!C95</f>
        <v>438</v>
      </c>
      <c r="D95" s="379">
        <f t="shared" si="19"/>
        <v>438</v>
      </c>
      <c r="E95" s="379">
        <f t="shared" si="13"/>
        <v>0</v>
      </c>
      <c r="F95" s="388">
        <f t="shared" si="13"/>
        <v>0</v>
      </c>
      <c r="G95" s="378">
        <f t="shared" si="13"/>
        <v>0</v>
      </c>
      <c r="H95" s="379">
        <f t="shared" si="13"/>
        <v>0</v>
      </c>
      <c r="I95" s="388">
        <f t="shared" si="13"/>
        <v>0</v>
      </c>
      <c r="J95" s="388">
        <f t="shared" si="13"/>
        <v>0</v>
      </c>
      <c r="K95" s="389">
        <f t="shared" si="20"/>
        <v>0</v>
      </c>
      <c r="L95" s="394">
        <f t="shared" si="21"/>
        <v>876</v>
      </c>
      <c r="M95" s="417">
        <f>Données!AE95</f>
        <v>0</v>
      </c>
      <c r="N95" s="394">
        <v>0</v>
      </c>
      <c r="O95" s="418">
        <f t="shared" si="14"/>
        <v>438</v>
      </c>
      <c r="P95" s="394">
        <f t="shared" si="22"/>
        <v>876</v>
      </c>
      <c r="Q95" s="419">
        <f t="shared" si="15"/>
        <v>13504.355645755941</v>
      </c>
      <c r="R95" s="394">
        <f t="shared" si="16"/>
        <v>29511.995141098589</v>
      </c>
      <c r="S95" s="393">
        <f t="shared" si="17"/>
        <v>21990.083896103893</v>
      </c>
      <c r="T95" s="418">
        <f t="shared" si="18"/>
        <v>0</v>
      </c>
      <c r="U95" s="422">
        <f t="shared" si="23"/>
        <v>65006.434682958425</v>
      </c>
    </row>
    <row r="96" spans="1:21" x14ac:dyDescent="0.25">
      <c r="A96" s="148">
        <f>Données!A96</f>
        <v>5556</v>
      </c>
      <c r="B96" s="149" t="str">
        <f>Données!B96</f>
        <v>Fiez</v>
      </c>
      <c r="C96" s="392">
        <f>Données!C96</f>
        <v>431</v>
      </c>
      <c r="D96" s="379">
        <f t="shared" si="19"/>
        <v>431</v>
      </c>
      <c r="E96" s="379">
        <f t="shared" si="13"/>
        <v>0</v>
      </c>
      <c r="F96" s="388">
        <f t="shared" si="13"/>
        <v>0</v>
      </c>
      <c r="G96" s="378">
        <f t="shared" si="13"/>
        <v>0</v>
      </c>
      <c r="H96" s="379">
        <f t="shared" si="13"/>
        <v>0</v>
      </c>
      <c r="I96" s="388">
        <f t="shared" si="13"/>
        <v>0</v>
      </c>
      <c r="J96" s="388">
        <f t="shared" si="13"/>
        <v>0</v>
      </c>
      <c r="K96" s="389">
        <f t="shared" si="20"/>
        <v>0</v>
      </c>
      <c r="L96" s="394">
        <f t="shared" si="21"/>
        <v>862</v>
      </c>
      <c r="M96" s="417">
        <f>Données!AE96</f>
        <v>0</v>
      </c>
      <c r="N96" s="394">
        <v>0</v>
      </c>
      <c r="O96" s="418">
        <f t="shared" si="14"/>
        <v>431</v>
      </c>
      <c r="P96" s="394">
        <f t="shared" si="22"/>
        <v>862</v>
      </c>
      <c r="Q96" s="419">
        <f t="shared" si="15"/>
        <v>13288.532610321485</v>
      </c>
      <c r="R96" s="394">
        <f t="shared" si="16"/>
        <v>29040.342250715737</v>
      </c>
      <c r="S96" s="393">
        <f t="shared" si="17"/>
        <v>21638.644199134196</v>
      </c>
      <c r="T96" s="418">
        <f t="shared" si="18"/>
        <v>0</v>
      </c>
      <c r="U96" s="422">
        <f t="shared" si="23"/>
        <v>63967.519060171413</v>
      </c>
    </row>
    <row r="97" spans="1:21" x14ac:dyDescent="0.25">
      <c r="A97" s="148">
        <f>Données!A97</f>
        <v>5557</v>
      </c>
      <c r="B97" s="149" t="str">
        <f>Données!B97</f>
        <v>Fontaines-sur-Grandson</v>
      </c>
      <c r="C97" s="392">
        <f>Données!C97</f>
        <v>220</v>
      </c>
      <c r="D97" s="379">
        <f t="shared" si="19"/>
        <v>220</v>
      </c>
      <c r="E97" s="379">
        <f t="shared" si="13"/>
        <v>0</v>
      </c>
      <c r="F97" s="388">
        <f t="shared" si="13"/>
        <v>0</v>
      </c>
      <c r="G97" s="378">
        <f t="shared" si="13"/>
        <v>0</v>
      </c>
      <c r="H97" s="379">
        <f t="shared" si="13"/>
        <v>0</v>
      </c>
      <c r="I97" s="388">
        <f t="shared" si="13"/>
        <v>0</v>
      </c>
      <c r="J97" s="388">
        <f t="shared" si="13"/>
        <v>0</v>
      </c>
      <c r="K97" s="389">
        <f t="shared" si="20"/>
        <v>0</v>
      </c>
      <c r="L97" s="394">
        <f t="shared" si="21"/>
        <v>440</v>
      </c>
      <c r="M97" s="417">
        <f>Données!AE97</f>
        <v>0</v>
      </c>
      <c r="N97" s="394">
        <v>0</v>
      </c>
      <c r="O97" s="418">
        <f t="shared" si="14"/>
        <v>220</v>
      </c>
      <c r="P97" s="394">
        <f t="shared" si="22"/>
        <v>440</v>
      </c>
      <c r="Q97" s="419">
        <f t="shared" si="15"/>
        <v>6783.0096850828922</v>
      </c>
      <c r="R97" s="394">
        <f t="shared" si="16"/>
        <v>14823.376554889703</v>
      </c>
      <c r="S97" s="393">
        <f t="shared" si="17"/>
        <v>11045.247619047619</v>
      </c>
      <c r="T97" s="418">
        <f t="shared" si="18"/>
        <v>0</v>
      </c>
      <c r="U97" s="422">
        <f t="shared" si="23"/>
        <v>32651.633859020214</v>
      </c>
    </row>
    <row r="98" spans="1:21" x14ac:dyDescent="0.25">
      <c r="A98" s="148">
        <f>Données!A98</f>
        <v>5559</v>
      </c>
      <c r="B98" s="149" t="str">
        <f>Données!B98</f>
        <v>Giez</v>
      </c>
      <c r="C98" s="392">
        <f>Données!C98</f>
        <v>464</v>
      </c>
      <c r="D98" s="379">
        <f t="shared" si="19"/>
        <v>464</v>
      </c>
      <c r="E98" s="379">
        <f t="shared" si="13"/>
        <v>0</v>
      </c>
      <c r="F98" s="388">
        <f t="shared" si="13"/>
        <v>0</v>
      </c>
      <c r="G98" s="378">
        <f t="shared" si="13"/>
        <v>0</v>
      </c>
      <c r="H98" s="379">
        <f t="shared" si="13"/>
        <v>0</v>
      </c>
      <c r="I98" s="388">
        <f t="shared" si="13"/>
        <v>0</v>
      </c>
      <c r="J98" s="388">
        <f t="shared" si="13"/>
        <v>0</v>
      </c>
      <c r="K98" s="389">
        <f t="shared" si="20"/>
        <v>0</v>
      </c>
      <c r="L98" s="394">
        <f t="shared" si="21"/>
        <v>928</v>
      </c>
      <c r="M98" s="417">
        <f>Données!AE98</f>
        <v>0</v>
      </c>
      <c r="N98" s="394">
        <v>0</v>
      </c>
      <c r="O98" s="418">
        <f t="shared" si="14"/>
        <v>464</v>
      </c>
      <c r="P98" s="394">
        <f t="shared" si="22"/>
        <v>928</v>
      </c>
      <c r="Q98" s="419">
        <f t="shared" si="15"/>
        <v>14305.984063083919</v>
      </c>
      <c r="R98" s="394">
        <f t="shared" si="16"/>
        <v>31263.848733949191</v>
      </c>
      <c r="S98" s="393">
        <f t="shared" si="17"/>
        <v>23295.431341991341</v>
      </c>
      <c r="T98" s="418">
        <f t="shared" si="18"/>
        <v>0</v>
      </c>
      <c r="U98" s="422">
        <f t="shared" si="23"/>
        <v>68865.264139024453</v>
      </c>
    </row>
    <row r="99" spans="1:21" x14ac:dyDescent="0.25">
      <c r="A99" s="148">
        <f>Données!A99</f>
        <v>5560</v>
      </c>
      <c r="B99" s="149" t="str">
        <f>Données!B99</f>
        <v>Grandevent</v>
      </c>
      <c r="C99" s="392">
        <f>Données!C99</f>
        <v>241</v>
      </c>
      <c r="D99" s="379">
        <f t="shared" si="19"/>
        <v>241</v>
      </c>
      <c r="E99" s="379">
        <f t="shared" si="13"/>
        <v>0</v>
      </c>
      <c r="F99" s="388">
        <f t="shared" si="13"/>
        <v>0</v>
      </c>
      <c r="G99" s="378">
        <f t="shared" si="13"/>
        <v>0</v>
      </c>
      <c r="H99" s="379">
        <f t="shared" si="13"/>
        <v>0</v>
      </c>
      <c r="I99" s="388">
        <f t="shared" si="13"/>
        <v>0</v>
      </c>
      <c r="J99" s="388">
        <f t="shared" si="13"/>
        <v>0</v>
      </c>
      <c r="K99" s="389">
        <f t="shared" si="20"/>
        <v>0</v>
      </c>
      <c r="L99" s="394">
        <f t="shared" si="21"/>
        <v>482</v>
      </c>
      <c r="M99" s="417">
        <f>Données!AE99</f>
        <v>0</v>
      </c>
      <c r="N99" s="394">
        <v>0</v>
      </c>
      <c r="O99" s="418">
        <f t="shared" si="14"/>
        <v>241</v>
      </c>
      <c r="P99" s="394">
        <f t="shared" si="22"/>
        <v>482</v>
      </c>
      <c r="Q99" s="419">
        <f t="shared" si="15"/>
        <v>7430.4787913862592</v>
      </c>
      <c r="R99" s="394">
        <f t="shared" si="16"/>
        <v>16238.335226038265</v>
      </c>
      <c r="S99" s="393">
        <f t="shared" si="17"/>
        <v>12099.566709956709</v>
      </c>
      <c r="T99" s="418">
        <f t="shared" si="18"/>
        <v>0</v>
      </c>
      <c r="U99" s="422">
        <f t="shared" si="23"/>
        <v>35768.380727381234</v>
      </c>
    </row>
    <row r="100" spans="1:21" x14ac:dyDescent="0.25">
      <c r="A100" s="148">
        <f>Données!A100</f>
        <v>5561</v>
      </c>
      <c r="B100" s="149" t="str">
        <f>Données!B100</f>
        <v>Grandson</v>
      </c>
      <c r="C100" s="392">
        <f>Données!C100</f>
        <v>3396</v>
      </c>
      <c r="D100" s="379">
        <f t="shared" si="19"/>
        <v>1000</v>
      </c>
      <c r="E100" s="379">
        <f t="shared" si="13"/>
        <v>2000</v>
      </c>
      <c r="F100" s="388">
        <f t="shared" si="13"/>
        <v>396</v>
      </c>
      <c r="G100" s="378">
        <f t="shared" si="13"/>
        <v>0</v>
      </c>
      <c r="H100" s="379">
        <f t="shared" si="13"/>
        <v>0</v>
      </c>
      <c r="I100" s="388">
        <f t="shared" si="13"/>
        <v>0</v>
      </c>
      <c r="J100" s="388">
        <f t="shared" si="13"/>
        <v>0</v>
      </c>
      <c r="K100" s="389">
        <f t="shared" si="20"/>
        <v>0</v>
      </c>
      <c r="L100" s="394">
        <f t="shared" si="21"/>
        <v>9386</v>
      </c>
      <c r="M100" s="417">
        <f>Données!AE100</f>
        <v>0</v>
      </c>
      <c r="N100" s="394">
        <v>0</v>
      </c>
      <c r="O100" s="418">
        <f t="shared" si="14"/>
        <v>3396</v>
      </c>
      <c r="P100" s="394">
        <f t="shared" si="22"/>
        <v>9386</v>
      </c>
      <c r="Q100" s="419">
        <f t="shared" si="15"/>
        <v>104705.00404791592</v>
      </c>
      <c r="R100" s="394">
        <f t="shared" si="16"/>
        <v>228819.03082002469</v>
      </c>
      <c r="S100" s="393">
        <f t="shared" si="17"/>
        <v>235615.21398268396</v>
      </c>
      <c r="T100" s="418">
        <f t="shared" si="18"/>
        <v>0</v>
      </c>
      <c r="U100" s="422">
        <f t="shared" si="23"/>
        <v>569139.24885062454</v>
      </c>
    </row>
    <row r="101" spans="1:21" x14ac:dyDescent="0.25">
      <c r="A101" s="148">
        <f>Données!A101</f>
        <v>5562</v>
      </c>
      <c r="B101" s="149" t="str">
        <f>Données!B101</f>
        <v>Mauborget</v>
      </c>
      <c r="C101" s="392">
        <f>Données!C101</f>
        <v>145</v>
      </c>
      <c r="D101" s="379">
        <f t="shared" si="19"/>
        <v>145</v>
      </c>
      <c r="E101" s="379">
        <f t="shared" si="13"/>
        <v>0</v>
      </c>
      <c r="F101" s="388">
        <f t="shared" si="13"/>
        <v>0</v>
      </c>
      <c r="G101" s="378">
        <f t="shared" si="13"/>
        <v>0</v>
      </c>
      <c r="H101" s="379">
        <f t="shared" si="13"/>
        <v>0</v>
      </c>
      <c r="I101" s="388">
        <f t="shared" si="13"/>
        <v>0</v>
      </c>
      <c r="J101" s="388">
        <f t="shared" si="13"/>
        <v>0</v>
      </c>
      <c r="K101" s="389">
        <f t="shared" si="20"/>
        <v>0</v>
      </c>
      <c r="L101" s="394">
        <f t="shared" si="21"/>
        <v>290</v>
      </c>
      <c r="M101" s="417">
        <f>Données!AE101</f>
        <v>0</v>
      </c>
      <c r="N101" s="394">
        <v>0</v>
      </c>
      <c r="O101" s="418">
        <f t="shared" si="14"/>
        <v>145</v>
      </c>
      <c r="P101" s="394">
        <f t="shared" si="22"/>
        <v>290</v>
      </c>
      <c r="Q101" s="419">
        <f t="shared" si="15"/>
        <v>4470.620019713725</v>
      </c>
      <c r="R101" s="394">
        <f t="shared" si="16"/>
        <v>9769.9527293591218</v>
      </c>
      <c r="S101" s="393">
        <f t="shared" si="17"/>
        <v>7279.822294372294</v>
      </c>
      <c r="T101" s="418">
        <f t="shared" si="18"/>
        <v>0</v>
      </c>
      <c r="U101" s="422">
        <f t="shared" si="23"/>
        <v>21520.39504344514</v>
      </c>
    </row>
    <row r="102" spans="1:21" x14ac:dyDescent="0.25">
      <c r="A102" s="148">
        <f>Données!A102</f>
        <v>5563</v>
      </c>
      <c r="B102" s="149" t="str">
        <f>Données!B102</f>
        <v>Mutrux</v>
      </c>
      <c r="C102" s="392">
        <f>Données!C102</f>
        <v>144</v>
      </c>
      <c r="D102" s="379">
        <f t="shared" si="19"/>
        <v>144</v>
      </c>
      <c r="E102" s="379">
        <f t="shared" si="13"/>
        <v>0</v>
      </c>
      <c r="F102" s="388">
        <f t="shared" si="13"/>
        <v>0</v>
      </c>
      <c r="G102" s="378">
        <f t="shared" si="13"/>
        <v>0</v>
      </c>
      <c r="H102" s="379">
        <f t="shared" si="13"/>
        <v>0</v>
      </c>
      <c r="I102" s="388">
        <f t="shared" si="13"/>
        <v>0</v>
      </c>
      <c r="J102" s="388">
        <f t="shared" si="13"/>
        <v>0</v>
      </c>
      <c r="K102" s="389">
        <f t="shared" si="20"/>
        <v>0</v>
      </c>
      <c r="L102" s="394">
        <f t="shared" si="21"/>
        <v>288</v>
      </c>
      <c r="M102" s="417">
        <f>Données!AE102</f>
        <v>0</v>
      </c>
      <c r="N102" s="394">
        <v>0</v>
      </c>
      <c r="O102" s="418">
        <f t="shared" si="14"/>
        <v>144</v>
      </c>
      <c r="P102" s="394">
        <f t="shared" si="22"/>
        <v>288</v>
      </c>
      <c r="Q102" s="419">
        <f t="shared" si="15"/>
        <v>4439.7881575088022</v>
      </c>
      <c r="R102" s="394">
        <f t="shared" si="16"/>
        <v>9702.5737450187153</v>
      </c>
      <c r="S102" s="393">
        <f t="shared" si="17"/>
        <v>7229.6166233766226</v>
      </c>
      <c r="T102" s="418">
        <f t="shared" si="18"/>
        <v>0</v>
      </c>
      <c r="U102" s="422">
        <f t="shared" si="23"/>
        <v>21371.978525904142</v>
      </c>
    </row>
    <row r="103" spans="1:21" x14ac:dyDescent="0.25">
      <c r="A103" s="148">
        <f>Données!A103</f>
        <v>5564</v>
      </c>
      <c r="B103" s="149" t="str">
        <f>Données!B103</f>
        <v>Novalles</v>
      </c>
      <c r="C103" s="392">
        <f>Données!C103</f>
        <v>106</v>
      </c>
      <c r="D103" s="379">
        <f t="shared" si="19"/>
        <v>106</v>
      </c>
      <c r="E103" s="379">
        <f t="shared" si="13"/>
        <v>0</v>
      </c>
      <c r="F103" s="388">
        <f t="shared" si="13"/>
        <v>0</v>
      </c>
      <c r="G103" s="378">
        <f t="shared" si="13"/>
        <v>0</v>
      </c>
      <c r="H103" s="379">
        <f t="shared" si="13"/>
        <v>0</v>
      </c>
      <c r="I103" s="388">
        <f t="shared" si="13"/>
        <v>0</v>
      </c>
      <c r="J103" s="388">
        <f t="shared" si="13"/>
        <v>0</v>
      </c>
      <c r="K103" s="389">
        <f t="shared" si="20"/>
        <v>0</v>
      </c>
      <c r="L103" s="394">
        <f t="shared" si="21"/>
        <v>212</v>
      </c>
      <c r="M103" s="417">
        <f>Données!AE103</f>
        <v>0</v>
      </c>
      <c r="N103" s="394">
        <v>0</v>
      </c>
      <c r="O103" s="418">
        <f t="shared" si="14"/>
        <v>106</v>
      </c>
      <c r="P103" s="394">
        <f t="shared" si="22"/>
        <v>212</v>
      </c>
      <c r="Q103" s="419">
        <f t="shared" si="15"/>
        <v>3268.1773937217572</v>
      </c>
      <c r="R103" s="394">
        <f t="shared" si="16"/>
        <v>7142.1723400832207</v>
      </c>
      <c r="S103" s="393">
        <f t="shared" si="17"/>
        <v>5321.8011255411247</v>
      </c>
      <c r="T103" s="418">
        <f t="shared" si="18"/>
        <v>0</v>
      </c>
      <c r="U103" s="422">
        <f t="shared" si="23"/>
        <v>15732.150859346104</v>
      </c>
    </row>
    <row r="104" spans="1:21" x14ac:dyDescent="0.25">
      <c r="A104" s="148">
        <f>Données!A104</f>
        <v>5565</v>
      </c>
      <c r="B104" s="149" t="str">
        <f>Données!B104</f>
        <v>Onnens</v>
      </c>
      <c r="C104" s="392">
        <f>Données!C104</f>
        <v>520</v>
      </c>
      <c r="D104" s="379">
        <f t="shared" si="19"/>
        <v>520</v>
      </c>
      <c r="E104" s="379">
        <f t="shared" si="13"/>
        <v>0</v>
      </c>
      <c r="F104" s="388">
        <f t="shared" si="13"/>
        <v>0</v>
      </c>
      <c r="G104" s="378">
        <f t="shared" si="13"/>
        <v>0</v>
      </c>
      <c r="H104" s="379">
        <f t="shared" si="13"/>
        <v>0</v>
      </c>
      <c r="I104" s="388">
        <f t="shared" si="13"/>
        <v>0</v>
      </c>
      <c r="J104" s="388">
        <f t="shared" si="13"/>
        <v>0</v>
      </c>
      <c r="K104" s="389">
        <f t="shared" si="20"/>
        <v>0</v>
      </c>
      <c r="L104" s="394">
        <f t="shared" si="21"/>
        <v>1040</v>
      </c>
      <c r="M104" s="417">
        <f>Données!AE104</f>
        <v>0</v>
      </c>
      <c r="N104" s="394">
        <v>0</v>
      </c>
      <c r="O104" s="418">
        <f t="shared" si="14"/>
        <v>520</v>
      </c>
      <c r="P104" s="394">
        <f t="shared" si="22"/>
        <v>1040</v>
      </c>
      <c r="Q104" s="419">
        <f t="shared" si="15"/>
        <v>16032.568346559565</v>
      </c>
      <c r="R104" s="394">
        <f t="shared" si="16"/>
        <v>35037.071857012023</v>
      </c>
      <c r="S104" s="393">
        <f t="shared" si="17"/>
        <v>26106.948917748916</v>
      </c>
      <c r="T104" s="418">
        <f t="shared" si="18"/>
        <v>0</v>
      </c>
      <c r="U104" s="422">
        <f t="shared" si="23"/>
        <v>77176.589121320503</v>
      </c>
    </row>
    <row r="105" spans="1:21" x14ac:dyDescent="0.25">
      <c r="A105" s="148">
        <f>Données!A105</f>
        <v>5566</v>
      </c>
      <c r="B105" s="149" t="str">
        <f>Données!B105</f>
        <v>Provence</v>
      </c>
      <c r="C105" s="392">
        <f>Données!C105</f>
        <v>411</v>
      </c>
      <c r="D105" s="379">
        <f t="shared" si="19"/>
        <v>411</v>
      </c>
      <c r="E105" s="379">
        <f t="shared" si="13"/>
        <v>0</v>
      </c>
      <c r="F105" s="388">
        <f t="shared" si="13"/>
        <v>0</v>
      </c>
      <c r="G105" s="378">
        <f t="shared" si="13"/>
        <v>0</v>
      </c>
      <c r="H105" s="379">
        <f t="shared" si="13"/>
        <v>0</v>
      </c>
      <c r="I105" s="388">
        <f t="shared" si="13"/>
        <v>0</v>
      </c>
      <c r="J105" s="388">
        <f t="shared" si="13"/>
        <v>0</v>
      </c>
      <c r="K105" s="389">
        <f t="shared" si="20"/>
        <v>0</v>
      </c>
      <c r="L105" s="394">
        <f t="shared" si="21"/>
        <v>822</v>
      </c>
      <c r="M105" s="417">
        <f>Données!AE105</f>
        <v>0</v>
      </c>
      <c r="N105" s="394">
        <v>0</v>
      </c>
      <c r="O105" s="418">
        <f t="shared" si="14"/>
        <v>411</v>
      </c>
      <c r="P105" s="394">
        <f t="shared" si="22"/>
        <v>822</v>
      </c>
      <c r="Q105" s="419">
        <f t="shared" si="15"/>
        <v>12671.89536622304</v>
      </c>
      <c r="R105" s="394">
        <f t="shared" si="16"/>
        <v>27692.762563907581</v>
      </c>
      <c r="S105" s="393">
        <f t="shared" si="17"/>
        <v>20634.530779220779</v>
      </c>
      <c r="T105" s="418">
        <f t="shared" si="18"/>
        <v>0</v>
      </c>
      <c r="U105" s="422">
        <f t="shared" si="23"/>
        <v>60999.188709351394</v>
      </c>
    </row>
    <row r="106" spans="1:21" x14ac:dyDescent="0.25">
      <c r="A106" s="148">
        <f>Données!A106</f>
        <v>5568</v>
      </c>
      <c r="B106" s="149" t="str">
        <f>Données!B106</f>
        <v>Sainte-Croix</v>
      </c>
      <c r="C106" s="392">
        <f>Données!C106</f>
        <v>5130</v>
      </c>
      <c r="D106" s="379">
        <f t="shared" si="19"/>
        <v>1000</v>
      </c>
      <c r="E106" s="379">
        <f t="shared" si="13"/>
        <v>2000</v>
      </c>
      <c r="F106" s="388">
        <f t="shared" si="13"/>
        <v>2000</v>
      </c>
      <c r="G106" s="378">
        <f t="shared" si="13"/>
        <v>130</v>
      </c>
      <c r="H106" s="379">
        <f t="shared" si="13"/>
        <v>0</v>
      </c>
      <c r="I106" s="388">
        <f t="shared" si="13"/>
        <v>0</v>
      </c>
      <c r="J106" s="388">
        <f t="shared" si="13"/>
        <v>0</v>
      </c>
      <c r="K106" s="389">
        <f t="shared" si="20"/>
        <v>0</v>
      </c>
      <c r="L106" s="394">
        <f t="shared" si="21"/>
        <v>15520</v>
      </c>
      <c r="M106" s="417">
        <f>Données!AE106</f>
        <v>0</v>
      </c>
      <c r="N106" s="394">
        <v>0</v>
      </c>
      <c r="O106" s="418">
        <f t="shared" si="14"/>
        <v>5130</v>
      </c>
      <c r="P106" s="394">
        <f t="shared" si="22"/>
        <v>15520</v>
      </c>
      <c r="Q106" s="419">
        <f t="shared" si="15"/>
        <v>158167.45311125109</v>
      </c>
      <c r="R106" s="394">
        <f t="shared" si="16"/>
        <v>345654.1896662917</v>
      </c>
      <c r="S106" s="393">
        <f t="shared" si="17"/>
        <v>389596.00692640687</v>
      </c>
      <c r="T106" s="418">
        <f t="shared" si="18"/>
        <v>0</v>
      </c>
      <c r="U106" s="422">
        <f t="shared" si="23"/>
        <v>893417.64970394969</v>
      </c>
    </row>
    <row r="107" spans="1:21" x14ac:dyDescent="0.25">
      <c r="A107" s="148">
        <f>Données!A107</f>
        <v>5571</v>
      </c>
      <c r="B107" s="149" t="str">
        <f>Données!B107</f>
        <v>Tévenon</v>
      </c>
      <c r="C107" s="392">
        <f>Données!C107</f>
        <v>861</v>
      </c>
      <c r="D107" s="379">
        <f t="shared" si="19"/>
        <v>861</v>
      </c>
      <c r="E107" s="379">
        <f t="shared" si="13"/>
        <v>0</v>
      </c>
      <c r="F107" s="388">
        <f t="shared" si="13"/>
        <v>0</v>
      </c>
      <c r="G107" s="378">
        <f t="shared" si="13"/>
        <v>0</v>
      </c>
      <c r="H107" s="379">
        <f t="shared" si="13"/>
        <v>0</v>
      </c>
      <c r="I107" s="388">
        <f t="shared" si="13"/>
        <v>0</v>
      </c>
      <c r="J107" s="388">
        <f t="shared" si="13"/>
        <v>0</v>
      </c>
      <c r="K107" s="389">
        <f t="shared" si="20"/>
        <v>0</v>
      </c>
      <c r="L107" s="394">
        <f t="shared" si="21"/>
        <v>1722</v>
      </c>
      <c r="M107" s="417">
        <f>Données!AE107</f>
        <v>0</v>
      </c>
      <c r="N107" s="394">
        <v>0</v>
      </c>
      <c r="O107" s="418">
        <f t="shared" si="14"/>
        <v>861</v>
      </c>
      <c r="P107" s="394">
        <f t="shared" si="22"/>
        <v>1722</v>
      </c>
      <c r="Q107" s="419">
        <f t="shared" si="15"/>
        <v>26546.233358438047</v>
      </c>
      <c r="R107" s="394">
        <f t="shared" si="16"/>
        <v>58013.305517091067</v>
      </c>
      <c r="S107" s="393">
        <f t="shared" si="17"/>
        <v>43227.082727272726</v>
      </c>
      <c r="T107" s="418">
        <f t="shared" si="18"/>
        <v>0</v>
      </c>
      <c r="U107" s="422">
        <f t="shared" si="23"/>
        <v>127786.62160280184</v>
      </c>
    </row>
    <row r="108" spans="1:21" x14ac:dyDescent="0.25">
      <c r="A108" s="148">
        <f>Données!A108</f>
        <v>5581</v>
      </c>
      <c r="B108" s="149" t="str">
        <f>Données!B108</f>
        <v>Belmont-sur-Lausanne</v>
      </c>
      <c r="C108" s="392">
        <f>Données!C108</f>
        <v>3922</v>
      </c>
      <c r="D108" s="379">
        <f t="shared" si="19"/>
        <v>1000</v>
      </c>
      <c r="E108" s="379">
        <f t="shared" si="13"/>
        <v>2000</v>
      </c>
      <c r="F108" s="388">
        <f t="shared" si="13"/>
        <v>922</v>
      </c>
      <c r="G108" s="378">
        <f t="shared" si="13"/>
        <v>0</v>
      </c>
      <c r="H108" s="379">
        <f t="shared" si="13"/>
        <v>0</v>
      </c>
      <c r="I108" s="388">
        <f t="shared" si="13"/>
        <v>0</v>
      </c>
      <c r="J108" s="388">
        <f t="shared" si="13"/>
        <v>0</v>
      </c>
      <c r="K108" s="389">
        <f t="shared" si="20"/>
        <v>0</v>
      </c>
      <c r="L108" s="394">
        <f t="shared" si="21"/>
        <v>11227</v>
      </c>
      <c r="M108" s="417">
        <f>Données!AE108</f>
        <v>1</v>
      </c>
      <c r="N108" s="394">
        <v>1</v>
      </c>
      <c r="O108" s="418">
        <f t="shared" si="14"/>
        <v>0</v>
      </c>
      <c r="P108" s="394">
        <f t="shared" si="22"/>
        <v>0</v>
      </c>
      <c r="Q108" s="419">
        <f t="shared" si="15"/>
        <v>120922.56356770502</v>
      </c>
      <c r="R108" s="394">
        <f t="shared" si="16"/>
        <v>0</v>
      </c>
      <c r="S108" s="393">
        <f t="shared" si="17"/>
        <v>0</v>
      </c>
      <c r="T108" s="418">
        <f t="shared" si="18"/>
        <v>0</v>
      </c>
      <c r="U108" s="422">
        <f t="shared" si="23"/>
        <v>120922.56356770502</v>
      </c>
    </row>
    <row r="109" spans="1:21" x14ac:dyDescent="0.25">
      <c r="A109" s="148">
        <f>Données!A109</f>
        <v>5582</v>
      </c>
      <c r="B109" s="149" t="str">
        <f>Données!B109</f>
        <v>Cheseaux-sur-Lausanne</v>
      </c>
      <c r="C109" s="392">
        <f>Données!C109</f>
        <v>4855</v>
      </c>
      <c r="D109" s="379">
        <f t="shared" si="19"/>
        <v>1000</v>
      </c>
      <c r="E109" s="379">
        <f t="shared" ref="E109:J151" si="24">IF($C109&lt;E$4,0,IF($C109&gt;E$5,E$5-E$4,$C109-E$4))</f>
        <v>2000</v>
      </c>
      <c r="F109" s="388">
        <f t="shared" si="24"/>
        <v>1855</v>
      </c>
      <c r="G109" s="378">
        <f t="shared" si="24"/>
        <v>0</v>
      </c>
      <c r="H109" s="379">
        <f t="shared" si="24"/>
        <v>0</v>
      </c>
      <c r="I109" s="388">
        <f t="shared" si="24"/>
        <v>0</v>
      </c>
      <c r="J109" s="388">
        <f t="shared" si="24"/>
        <v>0</v>
      </c>
      <c r="K109" s="389">
        <f t="shared" si="20"/>
        <v>0</v>
      </c>
      <c r="L109" s="394">
        <f t="shared" si="21"/>
        <v>14492.5</v>
      </c>
      <c r="M109" s="417">
        <f>Données!AE109</f>
        <v>0</v>
      </c>
      <c r="N109" s="394">
        <v>0</v>
      </c>
      <c r="O109" s="418">
        <f t="shared" si="14"/>
        <v>4855</v>
      </c>
      <c r="P109" s="394">
        <f t="shared" si="22"/>
        <v>14492.5</v>
      </c>
      <c r="Q109" s="419">
        <f t="shared" si="15"/>
        <v>149688.69100489747</v>
      </c>
      <c r="R109" s="394">
        <f t="shared" si="16"/>
        <v>327124.96897267958</v>
      </c>
      <c r="S109" s="393">
        <f t="shared" si="17"/>
        <v>363802.84345238091</v>
      </c>
      <c r="T109" s="418">
        <f t="shared" si="18"/>
        <v>0</v>
      </c>
      <c r="U109" s="422">
        <f t="shared" si="23"/>
        <v>840616.5034299579</v>
      </c>
    </row>
    <row r="110" spans="1:21" x14ac:dyDescent="0.25">
      <c r="A110" s="148">
        <f>Données!A110</f>
        <v>5583</v>
      </c>
      <c r="B110" s="149" t="str">
        <f>Données!B110</f>
        <v>Crissier</v>
      </c>
      <c r="C110" s="392">
        <f>Données!C110</f>
        <v>10680</v>
      </c>
      <c r="D110" s="379">
        <f t="shared" si="19"/>
        <v>1000</v>
      </c>
      <c r="E110" s="379">
        <f t="shared" si="24"/>
        <v>2000</v>
      </c>
      <c r="F110" s="388">
        <f t="shared" si="24"/>
        <v>2000</v>
      </c>
      <c r="G110" s="378">
        <f t="shared" si="24"/>
        <v>5680</v>
      </c>
      <c r="H110" s="379">
        <f t="shared" si="24"/>
        <v>0</v>
      </c>
      <c r="I110" s="388">
        <f t="shared" si="24"/>
        <v>0</v>
      </c>
      <c r="J110" s="388">
        <f t="shared" si="24"/>
        <v>0</v>
      </c>
      <c r="K110" s="389">
        <f t="shared" si="20"/>
        <v>0</v>
      </c>
      <c r="L110" s="394">
        <f t="shared" si="21"/>
        <v>37720</v>
      </c>
      <c r="M110" s="417">
        <f>Données!AE110</f>
        <v>1</v>
      </c>
      <c r="N110" s="394">
        <v>1</v>
      </c>
      <c r="O110" s="418">
        <f t="shared" si="14"/>
        <v>0</v>
      </c>
      <c r="P110" s="394">
        <f t="shared" si="22"/>
        <v>0</v>
      </c>
      <c r="Q110" s="419">
        <f t="shared" si="15"/>
        <v>329284.28834856953</v>
      </c>
      <c r="R110" s="394">
        <f t="shared" si="16"/>
        <v>0</v>
      </c>
      <c r="S110" s="393">
        <f t="shared" si="17"/>
        <v>0</v>
      </c>
      <c r="T110" s="418">
        <f t="shared" si="18"/>
        <v>0</v>
      </c>
      <c r="U110" s="422">
        <f t="shared" si="23"/>
        <v>329284.28834856953</v>
      </c>
    </row>
    <row r="111" spans="1:21" x14ac:dyDescent="0.25">
      <c r="A111" s="148">
        <f>Données!A111</f>
        <v>5584</v>
      </c>
      <c r="B111" s="149" t="str">
        <f>Données!B111</f>
        <v>Epalinges</v>
      </c>
      <c r="C111" s="392">
        <f>Données!C111</f>
        <v>9905</v>
      </c>
      <c r="D111" s="379">
        <f t="shared" si="19"/>
        <v>1000</v>
      </c>
      <c r="E111" s="379">
        <f t="shared" si="24"/>
        <v>2000</v>
      </c>
      <c r="F111" s="388">
        <f t="shared" si="24"/>
        <v>2000</v>
      </c>
      <c r="G111" s="378">
        <f t="shared" si="24"/>
        <v>4905</v>
      </c>
      <c r="H111" s="379">
        <f t="shared" si="24"/>
        <v>0</v>
      </c>
      <c r="I111" s="388">
        <f t="shared" si="24"/>
        <v>0</v>
      </c>
      <c r="J111" s="388">
        <f t="shared" si="24"/>
        <v>0</v>
      </c>
      <c r="K111" s="389">
        <f t="shared" si="20"/>
        <v>0</v>
      </c>
      <c r="L111" s="394">
        <f t="shared" si="21"/>
        <v>34620</v>
      </c>
      <c r="M111" s="417">
        <f>Données!AE111</f>
        <v>0</v>
      </c>
      <c r="N111" s="394">
        <v>0</v>
      </c>
      <c r="O111" s="418">
        <f t="shared" si="14"/>
        <v>9905</v>
      </c>
      <c r="P111" s="394">
        <f t="shared" si="22"/>
        <v>34620</v>
      </c>
      <c r="Q111" s="419">
        <f t="shared" si="15"/>
        <v>305389.59513975476</v>
      </c>
      <c r="R111" s="394">
        <f t="shared" si="16"/>
        <v>667388.83989173872</v>
      </c>
      <c r="S111" s="393">
        <f t="shared" si="17"/>
        <v>869060.16493506485</v>
      </c>
      <c r="T111" s="418">
        <f t="shared" si="18"/>
        <v>0</v>
      </c>
      <c r="U111" s="422">
        <f t="shared" si="23"/>
        <v>1841838.5999665582</v>
      </c>
    </row>
    <row r="112" spans="1:21" x14ac:dyDescent="0.25">
      <c r="A112" s="148">
        <f>Données!A112</f>
        <v>5585</v>
      </c>
      <c r="B112" s="149" t="str">
        <f>Données!B112</f>
        <v>Jouxtens-Mézery</v>
      </c>
      <c r="C112" s="392">
        <f>Données!C112</f>
        <v>1482</v>
      </c>
      <c r="D112" s="379">
        <f t="shared" si="19"/>
        <v>1000</v>
      </c>
      <c r="E112" s="379">
        <f t="shared" si="24"/>
        <v>482</v>
      </c>
      <c r="F112" s="388">
        <f t="shared" si="24"/>
        <v>0</v>
      </c>
      <c r="G112" s="378">
        <f t="shared" si="24"/>
        <v>0</v>
      </c>
      <c r="H112" s="379">
        <f t="shared" si="24"/>
        <v>0</v>
      </c>
      <c r="I112" s="388">
        <f t="shared" si="24"/>
        <v>0</v>
      </c>
      <c r="J112" s="388">
        <f t="shared" si="24"/>
        <v>0</v>
      </c>
      <c r="K112" s="389">
        <f t="shared" si="20"/>
        <v>0</v>
      </c>
      <c r="L112" s="394">
        <f t="shared" si="21"/>
        <v>3446</v>
      </c>
      <c r="M112" s="417">
        <f>Données!AE112</f>
        <v>0</v>
      </c>
      <c r="N112" s="394">
        <v>0</v>
      </c>
      <c r="O112" s="418">
        <f t="shared" si="14"/>
        <v>1482</v>
      </c>
      <c r="P112" s="394">
        <f t="shared" si="22"/>
        <v>3446</v>
      </c>
      <c r="Q112" s="419">
        <f t="shared" si="15"/>
        <v>45692.81978769476</v>
      </c>
      <c r="R112" s="394">
        <f t="shared" si="16"/>
        <v>99855.654792484274</v>
      </c>
      <c r="S112" s="393">
        <f t="shared" si="17"/>
        <v>86504.371125541118</v>
      </c>
      <c r="T112" s="418">
        <f t="shared" si="18"/>
        <v>0</v>
      </c>
      <c r="U112" s="422">
        <f t="shared" si="23"/>
        <v>232052.84570572013</v>
      </c>
    </row>
    <row r="113" spans="1:21" x14ac:dyDescent="0.25">
      <c r="A113" s="148">
        <f>Données!A113</f>
        <v>5586</v>
      </c>
      <c r="B113" s="149" t="str">
        <f>Données!B113</f>
        <v>Lausanne</v>
      </c>
      <c r="C113" s="392">
        <f>Données!C113</f>
        <v>145037</v>
      </c>
      <c r="D113" s="379">
        <f t="shared" si="19"/>
        <v>1000</v>
      </c>
      <c r="E113" s="379">
        <f t="shared" si="24"/>
        <v>2000</v>
      </c>
      <c r="F113" s="388">
        <f t="shared" si="24"/>
        <v>2000</v>
      </c>
      <c r="G113" s="378">
        <f t="shared" si="24"/>
        <v>7000</v>
      </c>
      <c r="H113" s="379">
        <f t="shared" si="24"/>
        <v>3000</v>
      </c>
      <c r="I113" s="388">
        <f t="shared" si="24"/>
        <v>15000</v>
      </c>
      <c r="J113" s="388">
        <f t="shared" si="24"/>
        <v>15000</v>
      </c>
      <c r="K113" s="389">
        <f t="shared" si="20"/>
        <v>100037</v>
      </c>
      <c r="L113" s="394">
        <f t="shared" si="21"/>
        <v>1053296</v>
      </c>
      <c r="M113" s="417">
        <f>Données!AE113</f>
        <v>1</v>
      </c>
      <c r="N113" s="394">
        <v>1</v>
      </c>
      <c r="O113" s="418">
        <f t="shared" si="14"/>
        <v>0</v>
      </c>
      <c r="P113" s="394">
        <f t="shared" si="22"/>
        <v>0</v>
      </c>
      <c r="Q113" s="419">
        <f t="shared" si="15"/>
        <v>4471760.7986153066</v>
      </c>
      <c r="R113" s="394">
        <f t="shared" si="16"/>
        <v>0</v>
      </c>
      <c r="S113" s="393">
        <f t="shared" si="17"/>
        <v>0</v>
      </c>
      <c r="T113" s="418">
        <f t="shared" si="18"/>
        <v>0</v>
      </c>
      <c r="U113" s="422">
        <f t="shared" si="23"/>
        <v>4471760.7986153066</v>
      </c>
    </row>
    <row r="114" spans="1:21" x14ac:dyDescent="0.25">
      <c r="A114" s="148">
        <f>Données!A114</f>
        <v>5587</v>
      </c>
      <c r="B114" s="149" t="str">
        <f>Données!B114</f>
        <v>Le Mont-sur-Lausanne</v>
      </c>
      <c r="C114" s="392">
        <f>Données!C114</f>
        <v>9543</v>
      </c>
      <c r="D114" s="379">
        <f t="shared" si="19"/>
        <v>1000</v>
      </c>
      <c r="E114" s="379">
        <f t="shared" si="24"/>
        <v>2000</v>
      </c>
      <c r="F114" s="388">
        <f t="shared" si="24"/>
        <v>2000</v>
      </c>
      <c r="G114" s="378">
        <f t="shared" si="24"/>
        <v>4543</v>
      </c>
      <c r="H114" s="379">
        <f t="shared" si="24"/>
        <v>0</v>
      </c>
      <c r="I114" s="388">
        <f t="shared" si="24"/>
        <v>0</v>
      </c>
      <c r="J114" s="388">
        <f t="shared" si="24"/>
        <v>0</v>
      </c>
      <c r="K114" s="389">
        <f t="shared" si="20"/>
        <v>0</v>
      </c>
      <c r="L114" s="394">
        <f t="shared" si="21"/>
        <v>33172</v>
      </c>
      <c r="M114" s="417">
        <f>Données!AE114</f>
        <v>0</v>
      </c>
      <c r="N114" s="394">
        <v>0</v>
      </c>
      <c r="O114" s="418">
        <f t="shared" si="14"/>
        <v>9543</v>
      </c>
      <c r="P114" s="394">
        <f t="shared" si="22"/>
        <v>33172</v>
      </c>
      <c r="Q114" s="419">
        <f t="shared" si="15"/>
        <v>294228.46102157293</v>
      </c>
      <c r="R114" s="394">
        <f t="shared" si="16"/>
        <v>642997.64756051102</v>
      </c>
      <c r="S114" s="393">
        <f t="shared" si="17"/>
        <v>832711.25913419912</v>
      </c>
      <c r="T114" s="418">
        <f t="shared" si="18"/>
        <v>0</v>
      </c>
      <c r="U114" s="422">
        <f t="shared" si="23"/>
        <v>1769937.3677162831</v>
      </c>
    </row>
    <row r="115" spans="1:21" x14ac:dyDescent="0.25">
      <c r="A115" s="148">
        <f>Données!A115</f>
        <v>5588</v>
      </c>
      <c r="B115" s="149" t="str">
        <f>Données!B115</f>
        <v>Paudex</v>
      </c>
      <c r="C115" s="392">
        <f>Données!C115</f>
        <v>1512</v>
      </c>
      <c r="D115" s="379">
        <f t="shared" si="19"/>
        <v>1000</v>
      </c>
      <c r="E115" s="379">
        <f t="shared" si="24"/>
        <v>512</v>
      </c>
      <c r="F115" s="388">
        <f t="shared" si="24"/>
        <v>0</v>
      </c>
      <c r="G115" s="378">
        <f t="shared" si="24"/>
        <v>0</v>
      </c>
      <c r="H115" s="379">
        <f t="shared" si="24"/>
        <v>0</v>
      </c>
      <c r="I115" s="388">
        <f t="shared" si="24"/>
        <v>0</v>
      </c>
      <c r="J115" s="388">
        <f t="shared" si="24"/>
        <v>0</v>
      </c>
      <c r="K115" s="389">
        <f t="shared" si="20"/>
        <v>0</v>
      </c>
      <c r="L115" s="394">
        <f t="shared" si="21"/>
        <v>3536</v>
      </c>
      <c r="M115" s="417">
        <f>Données!AE115</f>
        <v>1</v>
      </c>
      <c r="N115" s="394">
        <v>1</v>
      </c>
      <c r="O115" s="418">
        <f t="shared" si="14"/>
        <v>0</v>
      </c>
      <c r="P115" s="394">
        <f t="shared" si="22"/>
        <v>0</v>
      </c>
      <c r="Q115" s="419">
        <f t="shared" si="15"/>
        <v>46617.775653842422</v>
      </c>
      <c r="R115" s="394">
        <f t="shared" si="16"/>
        <v>0</v>
      </c>
      <c r="S115" s="393">
        <f t="shared" si="17"/>
        <v>0</v>
      </c>
      <c r="T115" s="418">
        <f t="shared" si="18"/>
        <v>0</v>
      </c>
      <c r="U115" s="422">
        <f t="shared" si="23"/>
        <v>46617.775653842422</v>
      </c>
    </row>
    <row r="116" spans="1:21" x14ac:dyDescent="0.25">
      <c r="A116" s="148">
        <f>Données!A116</f>
        <v>5589</v>
      </c>
      <c r="B116" s="149" t="str">
        <f>Données!B116</f>
        <v>Prilly</v>
      </c>
      <c r="C116" s="392">
        <f>Données!C116</f>
        <v>12766</v>
      </c>
      <c r="D116" s="379">
        <f t="shared" si="19"/>
        <v>1000</v>
      </c>
      <c r="E116" s="379">
        <f t="shared" si="24"/>
        <v>2000</v>
      </c>
      <c r="F116" s="388">
        <f t="shared" si="24"/>
        <v>2000</v>
      </c>
      <c r="G116" s="378">
        <f t="shared" si="24"/>
        <v>7000</v>
      </c>
      <c r="H116" s="379">
        <f t="shared" si="24"/>
        <v>766</v>
      </c>
      <c r="I116" s="388">
        <f t="shared" si="24"/>
        <v>0</v>
      </c>
      <c r="J116" s="388">
        <f t="shared" si="24"/>
        <v>0</v>
      </c>
      <c r="K116" s="389">
        <f t="shared" si="20"/>
        <v>0</v>
      </c>
      <c r="L116" s="394">
        <f t="shared" si="21"/>
        <v>46830</v>
      </c>
      <c r="M116" s="417">
        <f>Données!AE116</f>
        <v>1</v>
      </c>
      <c r="N116" s="394">
        <v>1</v>
      </c>
      <c r="O116" s="418">
        <f t="shared" si="14"/>
        <v>0</v>
      </c>
      <c r="P116" s="394">
        <f t="shared" si="22"/>
        <v>0</v>
      </c>
      <c r="Q116" s="419">
        <f t="shared" si="15"/>
        <v>393599.55290803732</v>
      </c>
      <c r="R116" s="394">
        <f t="shared" si="16"/>
        <v>0</v>
      </c>
      <c r="S116" s="393">
        <f t="shared" si="17"/>
        <v>0</v>
      </c>
      <c r="T116" s="418">
        <f t="shared" si="18"/>
        <v>0</v>
      </c>
      <c r="U116" s="422">
        <f t="shared" si="23"/>
        <v>393599.55290803732</v>
      </c>
    </row>
    <row r="117" spans="1:21" x14ac:dyDescent="0.25">
      <c r="A117" s="148">
        <f>Données!A117</f>
        <v>5590</v>
      </c>
      <c r="B117" s="149" t="str">
        <f>Données!B117</f>
        <v>Pully</v>
      </c>
      <c r="C117" s="392">
        <f>Données!C117</f>
        <v>19545</v>
      </c>
      <c r="D117" s="379">
        <f t="shared" si="19"/>
        <v>1000</v>
      </c>
      <c r="E117" s="379">
        <f t="shared" si="24"/>
        <v>2000</v>
      </c>
      <c r="F117" s="388">
        <f t="shared" si="24"/>
        <v>2000</v>
      </c>
      <c r="G117" s="378">
        <f t="shared" si="24"/>
        <v>7000</v>
      </c>
      <c r="H117" s="379">
        <f t="shared" si="24"/>
        <v>3000</v>
      </c>
      <c r="I117" s="388">
        <f t="shared" si="24"/>
        <v>4545</v>
      </c>
      <c r="J117" s="388">
        <f t="shared" si="24"/>
        <v>0</v>
      </c>
      <c r="K117" s="389">
        <f t="shared" si="20"/>
        <v>0</v>
      </c>
      <c r="L117" s="394">
        <f t="shared" si="21"/>
        <v>85270</v>
      </c>
      <c r="M117" s="417">
        <f>Données!AE117</f>
        <v>1</v>
      </c>
      <c r="N117" s="394">
        <v>1</v>
      </c>
      <c r="O117" s="418">
        <f t="shared" si="14"/>
        <v>0</v>
      </c>
      <c r="P117" s="394">
        <f t="shared" si="22"/>
        <v>0</v>
      </c>
      <c r="Q117" s="419">
        <f t="shared" si="15"/>
        <v>602608.74679520517</v>
      </c>
      <c r="R117" s="394">
        <f t="shared" si="16"/>
        <v>0</v>
      </c>
      <c r="S117" s="393">
        <f t="shared" si="17"/>
        <v>0</v>
      </c>
      <c r="T117" s="418">
        <f t="shared" si="18"/>
        <v>0</v>
      </c>
      <c r="U117" s="422">
        <f t="shared" si="23"/>
        <v>602608.74679520517</v>
      </c>
    </row>
    <row r="118" spans="1:21" x14ac:dyDescent="0.25">
      <c r="A118" s="148">
        <f>Données!A118</f>
        <v>5591</v>
      </c>
      <c r="B118" s="149" t="str">
        <f>Données!B118</f>
        <v>Renens</v>
      </c>
      <c r="C118" s="392">
        <f>Données!C118</f>
        <v>21568</v>
      </c>
      <c r="D118" s="379">
        <f t="shared" si="19"/>
        <v>1000</v>
      </c>
      <c r="E118" s="379">
        <f t="shared" si="24"/>
        <v>2000</v>
      </c>
      <c r="F118" s="388">
        <f t="shared" si="24"/>
        <v>2000</v>
      </c>
      <c r="G118" s="378">
        <f t="shared" si="24"/>
        <v>7000</v>
      </c>
      <c r="H118" s="379">
        <f t="shared" si="24"/>
        <v>3000</v>
      </c>
      <c r="I118" s="388">
        <f t="shared" si="24"/>
        <v>6568</v>
      </c>
      <c r="J118" s="388">
        <f t="shared" si="24"/>
        <v>0</v>
      </c>
      <c r="K118" s="389">
        <f t="shared" si="20"/>
        <v>0</v>
      </c>
      <c r="L118" s="394">
        <f t="shared" si="21"/>
        <v>97408</v>
      </c>
      <c r="M118" s="417">
        <f>Données!AE118</f>
        <v>1</v>
      </c>
      <c r="N118" s="394">
        <v>1</v>
      </c>
      <c r="O118" s="418">
        <f t="shared" si="14"/>
        <v>0</v>
      </c>
      <c r="P118" s="394">
        <f t="shared" si="22"/>
        <v>0</v>
      </c>
      <c r="Q118" s="419">
        <f t="shared" si="15"/>
        <v>664981.60403576284</v>
      </c>
      <c r="R118" s="394">
        <f t="shared" si="16"/>
        <v>0</v>
      </c>
      <c r="S118" s="393">
        <f t="shared" si="17"/>
        <v>0</v>
      </c>
      <c r="T118" s="418">
        <f t="shared" si="18"/>
        <v>0</v>
      </c>
      <c r="U118" s="422">
        <f t="shared" si="23"/>
        <v>664981.60403576284</v>
      </c>
    </row>
    <row r="119" spans="1:21" x14ac:dyDescent="0.25">
      <c r="A119" s="148">
        <f>Données!A119</f>
        <v>5592</v>
      </c>
      <c r="B119" s="149" t="str">
        <f>Données!B119</f>
        <v>Romanel-sur-Lausanne</v>
      </c>
      <c r="C119" s="392">
        <f>Données!C119</f>
        <v>4325</v>
      </c>
      <c r="D119" s="379">
        <f t="shared" si="19"/>
        <v>1000</v>
      </c>
      <c r="E119" s="379">
        <f t="shared" si="24"/>
        <v>2000</v>
      </c>
      <c r="F119" s="388">
        <f t="shared" si="24"/>
        <v>1325</v>
      </c>
      <c r="G119" s="378">
        <f t="shared" si="24"/>
        <v>0</v>
      </c>
      <c r="H119" s="379">
        <f t="shared" si="24"/>
        <v>0</v>
      </c>
      <c r="I119" s="388">
        <f t="shared" si="24"/>
        <v>0</v>
      </c>
      <c r="J119" s="388">
        <f t="shared" si="24"/>
        <v>0</v>
      </c>
      <c r="K119" s="389">
        <f t="shared" si="20"/>
        <v>0</v>
      </c>
      <c r="L119" s="394">
        <f t="shared" si="21"/>
        <v>12637.5</v>
      </c>
      <c r="M119" s="417">
        <f>Données!AE119</f>
        <v>0</v>
      </c>
      <c r="N119" s="394">
        <v>0</v>
      </c>
      <c r="O119" s="418">
        <f t="shared" si="14"/>
        <v>4325</v>
      </c>
      <c r="P119" s="394">
        <f t="shared" si="22"/>
        <v>12637.5</v>
      </c>
      <c r="Q119" s="419">
        <f t="shared" si="15"/>
        <v>133347.80403628867</v>
      </c>
      <c r="R119" s="394">
        <f t="shared" si="16"/>
        <v>291414.1072722635</v>
      </c>
      <c r="S119" s="393">
        <f t="shared" si="17"/>
        <v>317237.08360389608</v>
      </c>
      <c r="T119" s="418">
        <f t="shared" si="18"/>
        <v>0</v>
      </c>
      <c r="U119" s="422">
        <f t="shared" si="23"/>
        <v>741998.99491244822</v>
      </c>
    </row>
    <row r="120" spans="1:21" x14ac:dyDescent="0.25">
      <c r="A120" s="148">
        <f>Données!A120</f>
        <v>5601</v>
      </c>
      <c r="B120" s="149" t="str">
        <f>Données!B120</f>
        <v>Chexbres</v>
      </c>
      <c r="C120" s="392">
        <f>Données!C120</f>
        <v>2263</v>
      </c>
      <c r="D120" s="379">
        <f t="shared" si="19"/>
        <v>1000</v>
      </c>
      <c r="E120" s="379">
        <f t="shared" si="24"/>
        <v>1263</v>
      </c>
      <c r="F120" s="388">
        <f t="shared" si="24"/>
        <v>0</v>
      </c>
      <c r="G120" s="378">
        <f t="shared" si="24"/>
        <v>0</v>
      </c>
      <c r="H120" s="379">
        <f t="shared" si="24"/>
        <v>0</v>
      </c>
      <c r="I120" s="388">
        <f t="shared" si="24"/>
        <v>0</v>
      </c>
      <c r="J120" s="388">
        <f t="shared" si="24"/>
        <v>0</v>
      </c>
      <c r="K120" s="389">
        <f t="shared" si="20"/>
        <v>0</v>
      </c>
      <c r="L120" s="394">
        <f t="shared" si="21"/>
        <v>5789</v>
      </c>
      <c r="M120" s="417">
        <f>Données!AE120</f>
        <v>1</v>
      </c>
      <c r="N120" s="394">
        <v>1</v>
      </c>
      <c r="O120" s="418">
        <f t="shared" si="14"/>
        <v>0</v>
      </c>
      <c r="P120" s="394">
        <f t="shared" si="22"/>
        <v>0</v>
      </c>
      <c r="Q120" s="419">
        <f t="shared" si="15"/>
        <v>69772.504169739026</v>
      </c>
      <c r="R120" s="394">
        <f t="shared" si="16"/>
        <v>0</v>
      </c>
      <c r="S120" s="393">
        <f t="shared" si="17"/>
        <v>0</v>
      </c>
      <c r="T120" s="418">
        <f t="shared" si="18"/>
        <v>0</v>
      </c>
      <c r="U120" s="422">
        <f t="shared" si="23"/>
        <v>69772.504169739026</v>
      </c>
    </row>
    <row r="121" spans="1:21" x14ac:dyDescent="0.25">
      <c r="A121" s="148">
        <f>Données!A121</f>
        <v>5604</v>
      </c>
      <c r="B121" s="149" t="str">
        <f>Données!B121</f>
        <v>Forel (Lavaux)</v>
      </c>
      <c r="C121" s="392">
        <f>Données!C121</f>
        <v>2088</v>
      </c>
      <c r="D121" s="379">
        <f t="shared" si="19"/>
        <v>1000</v>
      </c>
      <c r="E121" s="379">
        <f t="shared" si="24"/>
        <v>1088</v>
      </c>
      <c r="F121" s="388">
        <f t="shared" si="24"/>
        <v>0</v>
      </c>
      <c r="G121" s="378">
        <f t="shared" si="24"/>
        <v>0</v>
      </c>
      <c r="H121" s="379">
        <f t="shared" si="24"/>
        <v>0</v>
      </c>
      <c r="I121" s="388">
        <f t="shared" si="24"/>
        <v>0</v>
      </c>
      <c r="J121" s="388">
        <f t="shared" si="24"/>
        <v>0</v>
      </c>
      <c r="K121" s="389">
        <f t="shared" si="20"/>
        <v>0</v>
      </c>
      <c r="L121" s="394">
        <f t="shared" si="21"/>
        <v>5264</v>
      </c>
      <c r="M121" s="417">
        <f>Données!AE121</f>
        <v>0</v>
      </c>
      <c r="N121" s="394">
        <v>0</v>
      </c>
      <c r="O121" s="418">
        <f t="shared" si="14"/>
        <v>2088</v>
      </c>
      <c r="P121" s="394">
        <f t="shared" si="22"/>
        <v>5264</v>
      </c>
      <c r="Q121" s="419">
        <f t="shared" si="15"/>
        <v>64376.928283877634</v>
      </c>
      <c r="R121" s="394">
        <f t="shared" si="16"/>
        <v>140687.31930277136</v>
      </c>
      <c r="S121" s="393">
        <f t="shared" si="17"/>
        <v>132141.32606060605</v>
      </c>
      <c r="T121" s="418">
        <f t="shared" si="18"/>
        <v>0</v>
      </c>
      <c r="U121" s="422">
        <f t="shared" si="23"/>
        <v>337205.57364725508</v>
      </c>
    </row>
    <row r="122" spans="1:21" x14ac:dyDescent="0.25">
      <c r="A122" s="148">
        <f>Données!A122</f>
        <v>5606</v>
      </c>
      <c r="B122" s="149" t="str">
        <f>Données!B122</f>
        <v>Lutry</v>
      </c>
      <c r="C122" s="392">
        <f>Données!C122</f>
        <v>10750</v>
      </c>
      <c r="D122" s="379">
        <f t="shared" si="19"/>
        <v>1000</v>
      </c>
      <c r="E122" s="379">
        <f t="shared" si="24"/>
        <v>2000</v>
      </c>
      <c r="F122" s="388">
        <f t="shared" si="24"/>
        <v>2000</v>
      </c>
      <c r="G122" s="378">
        <f t="shared" si="24"/>
        <v>5750</v>
      </c>
      <c r="H122" s="379">
        <f t="shared" si="24"/>
        <v>0</v>
      </c>
      <c r="I122" s="388">
        <f t="shared" si="24"/>
        <v>0</v>
      </c>
      <c r="J122" s="388">
        <f t="shared" si="24"/>
        <v>0</v>
      </c>
      <c r="K122" s="389">
        <f t="shared" si="20"/>
        <v>0</v>
      </c>
      <c r="L122" s="394">
        <f t="shared" si="21"/>
        <v>38000</v>
      </c>
      <c r="M122" s="417">
        <f>Données!AE122</f>
        <v>1</v>
      </c>
      <c r="N122" s="394">
        <v>1</v>
      </c>
      <c r="O122" s="418">
        <f t="shared" si="14"/>
        <v>0</v>
      </c>
      <c r="P122" s="394">
        <f t="shared" si="22"/>
        <v>0</v>
      </c>
      <c r="Q122" s="419">
        <f t="shared" si="15"/>
        <v>331442.51870291407</v>
      </c>
      <c r="R122" s="394">
        <f t="shared" si="16"/>
        <v>0</v>
      </c>
      <c r="S122" s="393">
        <f t="shared" si="17"/>
        <v>0</v>
      </c>
      <c r="T122" s="418">
        <f t="shared" si="18"/>
        <v>0</v>
      </c>
      <c r="U122" s="422">
        <f t="shared" si="23"/>
        <v>331442.51870291407</v>
      </c>
    </row>
    <row r="123" spans="1:21" x14ac:dyDescent="0.25">
      <c r="A123" s="148">
        <f>Données!A123</f>
        <v>5607</v>
      </c>
      <c r="B123" s="149" t="str">
        <f>Données!B123</f>
        <v>Puidoux</v>
      </c>
      <c r="C123" s="392">
        <f>Données!C123</f>
        <v>2976</v>
      </c>
      <c r="D123" s="379">
        <f t="shared" si="19"/>
        <v>1000</v>
      </c>
      <c r="E123" s="379">
        <f t="shared" si="24"/>
        <v>1976</v>
      </c>
      <c r="F123" s="388">
        <f t="shared" si="24"/>
        <v>0</v>
      </c>
      <c r="G123" s="378">
        <f t="shared" si="24"/>
        <v>0</v>
      </c>
      <c r="H123" s="379">
        <f t="shared" si="24"/>
        <v>0</v>
      </c>
      <c r="I123" s="388">
        <f t="shared" si="24"/>
        <v>0</v>
      </c>
      <c r="J123" s="388">
        <f t="shared" si="24"/>
        <v>0</v>
      </c>
      <c r="K123" s="389">
        <f t="shared" si="20"/>
        <v>0</v>
      </c>
      <c r="L123" s="394">
        <f t="shared" si="21"/>
        <v>7928</v>
      </c>
      <c r="M123" s="417">
        <f>Données!AE123</f>
        <v>1</v>
      </c>
      <c r="N123" s="394">
        <v>1</v>
      </c>
      <c r="O123" s="418">
        <f t="shared" si="14"/>
        <v>0</v>
      </c>
      <c r="P123" s="394">
        <f t="shared" si="22"/>
        <v>0</v>
      </c>
      <c r="Q123" s="419">
        <f t="shared" si="15"/>
        <v>91755.621921848578</v>
      </c>
      <c r="R123" s="394">
        <f t="shared" si="16"/>
        <v>0</v>
      </c>
      <c r="S123" s="393">
        <f t="shared" si="17"/>
        <v>0</v>
      </c>
      <c r="T123" s="418">
        <f t="shared" si="18"/>
        <v>0</v>
      </c>
      <c r="U123" s="422">
        <f t="shared" si="23"/>
        <v>91755.621921848578</v>
      </c>
    </row>
    <row r="124" spans="1:21" x14ac:dyDescent="0.25">
      <c r="A124" s="148">
        <f>Données!A124</f>
        <v>5609</v>
      </c>
      <c r="B124" s="149" t="str">
        <f>Données!B124</f>
        <v>Rivaz</v>
      </c>
      <c r="C124" s="392">
        <f>Données!C124</f>
        <v>329</v>
      </c>
      <c r="D124" s="379">
        <f t="shared" si="19"/>
        <v>329</v>
      </c>
      <c r="E124" s="379">
        <f t="shared" si="24"/>
        <v>0</v>
      </c>
      <c r="F124" s="388">
        <f t="shared" si="24"/>
        <v>0</v>
      </c>
      <c r="G124" s="378">
        <f t="shared" si="24"/>
        <v>0</v>
      </c>
      <c r="H124" s="379">
        <f t="shared" si="24"/>
        <v>0</v>
      </c>
      <c r="I124" s="388">
        <f t="shared" si="24"/>
        <v>0</v>
      </c>
      <c r="J124" s="388">
        <f t="shared" si="24"/>
        <v>0</v>
      </c>
      <c r="K124" s="389">
        <f t="shared" si="20"/>
        <v>0</v>
      </c>
      <c r="L124" s="394">
        <f t="shared" si="21"/>
        <v>658</v>
      </c>
      <c r="M124" s="417">
        <f>Données!AE124</f>
        <v>1</v>
      </c>
      <c r="N124" s="394">
        <v>1</v>
      </c>
      <c r="O124" s="418">
        <f t="shared" si="14"/>
        <v>0</v>
      </c>
      <c r="P124" s="394">
        <f t="shared" si="22"/>
        <v>0</v>
      </c>
      <c r="Q124" s="419">
        <f t="shared" si="15"/>
        <v>10143.682665419416</v>
      </c>
      <c r="R124" s="394">
        <f t="shared" si="16"/>
        <v>0</v>
      </c>
      <c r="S124" s="393">
        <f t="shared" si="17"/>
        <v>0</v>
      </c>
      <c r="T124" s="418">
        <f t="shared" si="18"/>
        <v>0</v>
      </c>
      <c r="U124" s="422">
        <f t="shared" si="23"/>
        <v>10143.682665419416</v>
      </c>
    </row>
    <row r="125" spans="1:21" x14ac:dyDescent="0.25">
      <c r="A125" s="148">
        <f>Données!A125</f>
        <v>5610</v>
      </c>
      <c r="B125" s="149" t="str">
        <f>Données!B125</f>
        <v>St-Saphorin (Lavaux)</v>
      </c>
      <c r="C125" s="392">
        <f>Données!C125</f>
        <v>389</v>
      </c>
      <c r="D125" s="379">
        <f t="shared" si="19"/>
        <v>389</v>
      </c>
      <c r="E125" s="379">
        <f t="shared" si="24"/>
        <v>0</v>
      </c>
      <c r="F125" s="388">
        <f t="shared" si="24"/>
        <v>0</v>
      </c>
      <c r="G125" s="378">
        <f t="shared" si="24"/>
        <v>0</v>
      </c>
      <c r="H125" s="379">
        <f t="shared" si="24"/>
        <v>0</v>
      </c>
      <c r="I125" s="388">
        <f t="shared" si="24"/>
        <v>0</v>
      </c>
      <c r="J125" s="388">
        <f t="shared" si="24"/>
        <v>0</v>
      </c>
      <c r="K125" s="389">
        <f t="shared" si="20"/>
        <v>0</v>
      </c>
      <c r="L125" s="394">
        <f t="shared" si="21"/>
        <v>778</v>
      </c>
      <c r="M125" s="417">
        <f>Données!AE125</f>
        <v>1</v>
      </c>
      <c r="N125" s="394">
        <v>1</v>
      </c>
      <c r="O125" s="418">
        <f t="shared" si="14"/>
        <v>0</v>
      </c>
      <c r="P125" s="394">
        <f t="shared" si="22"/>
        <v>0</v>
      </c>
      <c r="Q125" s="419">
        <f t="shared" si="15"/>
        <v>11993.594397714751</v>
      </c>
      <c r="R125" s="394">
        <f t="shared" si="16"/>
        <v>0</v>
      </c>
      <c r="S125" s="393">
        <f t="shared" si="17"/>
        <v>0</v>
      </c>
      <c r="T125" s="418">
        <f t="shared" si="18"/>
        <v>0</v>
      </c>
      <c r="U125" s="422">
        <f t="shared" si="23"/>
        <v>11993.594397714751</v>
      </c>
    </row>
    <row r="126" spans="1:21" x14ac:dyDescent="0.25">
      <c r="A126" s="148">
        <f>Données!A126</f>
        <v>5611</v>
      </c>
      <c r="B126" s="149" t="str">
        <f>Données!B126</f>
        <v>Savigny</v>
      </c>
      <c r="C126" s="392">
        <f>Données!C126</f>
        <v>3506</v>
      </c>
      <c r="D126" s="379">
        <f t="shared" si="19"/>
        <v>1000</v>
      </c>
      <c r="E126" s="379">
        <f t="shared" si="24"/>
        <v>2000</v>
      </c>
      <c r="F126" s="388">
        <f t="shared" si="24"/>
        <v>506</v>
      </c>
      <c r="G126" s="378">
        <f t="shared" si="24"/>
        <v>0</v>
      </c>
      <c r="H126" s="379">
        <f t="shared" si="24"/>
        <v>0</v>
      </c>
      <c r="I126" s="388">
        <f t="shared" si="24"/>
        <v>0</v>
      </c>
      <c r="J126" s="388">
        <f t="shared" si="24"/>
        <v>0</v>
      </c>
      <c r="K126" s="389">
        <f t="shared" si="20"/>
        <v>0</v>
      </c>
      <c r="L126" s="394">
        <f t="shared" si="21"/>
        <v>9771</v>
      </c>
      <c r="M126" s="417">
        <f>Données!AE126</f>
        <v>1</v>
      </c>
      <c r="N126" s="394">
        <v>1</v>
      </c>
      <c r="O126" s="418">
        <f t="shared" si="14"/>
        <v>0</v>
      </c>
      <c r="P126" s="394">
        <f t="shared" si="22"/>
        <v>0</v>
      </c>
      <c r="Q126" s="419">
        <f t="shared" si="15"/>
        <v>108096.50889045736</v>
      </c>
      <c r="R126" s="394">
        <f t="shared" si="16"/>
        <v>0</v>
      </c>
      <c r="S126" s="393">
        <f t="shared" si="17"/>
        <v>0</v>
      </c>
      <c r="T126" s="418">
        <f t="shared" si="18"/>
        <v>0</v>
      </c>
      <c r="U126" s="422">
        <f t="shared" si="23"/>
        <v>108096.50889045736</v>
      </c>
    </row>
    <row r="127" spans="1:21" x14ac:dyDescent="0.25">
      <c r="A127" s="148">
        <f>Données!A127</f>
        <v>5613</v>
      </c>
      <c r="B127" s="149" t="str">
        <f>Données!B127</f>
        <v>Bourg-en-Lavaux</v>
      </c>
      <c r="C127" s="392">
        <f>Données!C127</f>
        <v>5465</v>
      </c>
      <c r="D127" s="379">
        <f t="shared" si="19"/>
        <v>1000</v>
      </c>
      <c r="E127" s="379">
        <f t="shared" si="24"/>
        <v>2000</v>
      </c>
      <c r="F127" s="388">
        <f t="shared" si="24"/>
        <v>2000</v>
      </c>
      <c r="G127" s="378">
        <f t="shared" si="24"/>
        <v>465</v>
      </c>
      <c r="H127" s="379">
        <f t="shared" si="24"/>
        <v>0</v>
      </c>
      <c r="I127" s="388">
        <f t="shared" si="24"/>
        <v>0</v>
      </c>
      <c r="J127" s="388">
        <f t="shared" si="24"/>
        <v>0</v>
      </c>
      <c r="K127" s="389">
        <f t="shared" si="20"/>
        <v>0</v>
      </c>
      <c r="L127" s="394">
        <f t="shared" si="21"/>
        <v>16860</v>
      </c>
      <c r="M127" s="417">
        <f>Données!AE127</f>
        <v>1</v>
      </c>
      <c r="N127" s="394">
        <v>1</v>
      </c>
      <c r="O127" s="418">
        <f t="shared" si="14"/>
        <v>0</v>
      </c>
      <c r="P127" s="394">
        <f t="shared" si="22"/>
        <v>0</v>
      </c>
      <c r="Q127" s="419">
        <f t="shared" si="15"/>
        <v>168496.12694990003</v>
      </c>
      <c r="R127" s="394">
        <f t="shared" si="16"/>
        <v>0</v>
      </c>
      <c r="S127" s="393">
        <f t="shared" si="17"/>
        <v>0</v>
      </c>
      <c r="T127" s="418">
        <f t="shared" si="18"/>
        <v>0</v>
      </c>
      <c r="U127" s="422">
        <f t="shared" si="23"/>
        <v>168496.12694990003</v>
      </c>
    </row>
    <row r="128" spans="1:21" x14ac:dyDescent="0.25">
      <c r="A128" s="148">
        <f>Données!A128</f>
        <v>5621</v>
      </c>
      <c r="B128" s="149" t="str">
        <f>Données!B128</f>
        <v>Aclens</v>
      </c>
      <c r="C128" s="392">
        <f>Données!C128</f>
        <v>587</v>
      </c>
      <c r="D128" s="379">
        <f t="shared" si="19"/>
        <v>587</v>
      </c>
      <c r="E128" s="379">
        <f t="shared" si="24"/>
        <v>0</v>
      </c>
      <c r="F128" s="388">
        <f t="shared" si="24"/>
        <v>0</v>
      </c>
      <c r="G128" s="378">
        <f t="shared" si="24"/>
        <v>0</v>
      </c>
      <c r="H128" s="379">
        <f t="shared" si="24"/>
        <v>0</v>
      </c>
      <c r="I128" s="388">
        <f t="shared" si="24"/>
        <v>0</v>
      </c>
      <c r="J128" s="388">
        <f t="shared" si="24"/>
        <v>0</v>
      </c>
      <c r="K128" s="389">
        <f t="shared" si="20"/>
        <v>0</v>
      </c>
      <c r="L128" s="394">
        <f t="shared" si="21"/>
        <v>1174</v>
      </c>
      <c r="M128" s="417">
        <f>Données!AE128</f>
        <v>0</v>
      </c>
      <c r="N128" s="394">
        <v>0</v>
      </c>
      <c r="O128" s="418">
        <f t="shared" si="14"/>
        <v>587</v>
      </c>
      <c r="P128" s="394">
        <f t="shared" si="22"/>
        <v>1174</v>
      </c>
      <c r="Q128" s="419">
        <f t="shared" si="15"/>
        <v>18098.303114289352</v>
      </c>
      <c r="R128" s="394">
        <f t="shared" si="16"/>
        <v>39551.463807819346</v>
      </c>
      <c r="S128" s="393">
        <f t="shared" si="17"/>
        <v>29470.728874458873</v>
      </c>
      <c r="T128" s="418">
        <f t="shared" si="18"/>
        <v>0</v>
      </c>
      <c r="U128" s="422">
        <f t="shared" si="23"/>
        <v>87120.495796567571</v>
      </c>
    </row>
    <row r="129" spans="1:21" x14ac:dyDescent="0.25">
      <c r="A129" s="148">
        <f>Données!A129</f>
        <v>5622</v>
      </c>
      <c r="B129" s="149" t="str">
        <f>Données!B129</f>
        <v>Bremblens</v>
      </c>
      <c r="C129" s="392">
        <f>Données!C129</f>
        <v>615</v>
      </c>
      <c r="D129" s="379">
        <f t="shared" si="19"/>
        <v>615</v>
      </c>
      <c r="E129" s="379">
        <f t="shared" si="24"/>
        <v>0</v>
      </c>
      <c r="F129" s="388">
        <f t="shared" si="24"/>
        <v>0</v>
      </c>
      <c r="G129" s="378">
        <f t="shared" si="24"/>
        <v>0</v>
      </c>
      <c r="H129" s="379">
        <f t="shared" si="24"/>
        <v>0</v>
      </c>
      <c r="I129" s="388">
        <f t="shared" si="24"/>
        <v>0</v>
      </c>
      <c r="J129" s="388">
        <f t="shared" si="24"/>
        <v>0</v>
      </c>
      <c r="K129" s="389">
        <f t="shared" si="20"/>
        <v>0</v>
      </c>
      <c r="L129" s="394">
        <f t="shared" si="21"/>
        <v>1230</v>
      </c>
      <c r="M129" s="417">
        <f>Données!AE129</f>
        <v>0</v>
      </c>
      <c r="N129" s="394">
        <v>0</v>
      </c>
      <c r="O129" s="418">
        <f t="shared" si="14"/>
        <v>615</v>
      </c>
      <c r="P129" s="394">
        <f t="shared" si="22"/>
        <v>1230</v>
      </c>
      <c r="Q129" s="419">
        <f t="shared" si="15"/>
        <v>18961.595256027176</v>
      </c>
      <c r="R129" s="394">
        <f t="shared" si="16"/>
        <v>41438.075369350758</v>
      </c>
      <c r="S129" s="393">
        <f t="shared" si="17"/>
        <v>30876.487662337659</v>
      </c>
      <c r="T129" s="418">
        <f t="shared" si="18"/>
        <v>0</v>
      </c>
      <c r="U129" s="422">
        <f t="shared" si="23"/>
        <v>91276.158287715589</v>
      </c>
    </row>
    <row r="130" spans="1:21" x14ac:dyDescent="0.25">
      <c r="A130" s="148">
        <f>Données!A130</f>
        <v>5623</v>
      </c>
      <c r="B130" s="149" t="str">
        <f>Données!B130</f>
        <v>Buchillon</v>
      </c>
      <c r="C130" s="392">
        <f>Données!C130</f>
        <v>686</v>
      </c>
      <c r="D130" s="379">
        <f t="shared" si="19"/>
        <v>686</v>
      </c>
      <c r="E130" s="379">
        <f t="shared" si="24"/>
        <v>0</v>
      </c>
      <c r="F130" s="388">
        <f t="shared" si="24"/>
        <v>0</v>
      </c>
      <c r="G130" s="378">
        <f t="shared" si="24"/>
        <v>0</v>
      </c>
      <c r="H130" s="379">
        <f t="shared" si="24"/>
        <v>0</v>
      </c>
      <c r="I130" s="388">
        <f t="shared" si="24"/>
        <v>0</v>
      </c>
      <c r="J130" s="388">
        <f t="shared" si="24"/>
        <v>0</v>
      </c>
      <c r="K130" s="389">
        <f t="shared" si="20"/>
        <v>0</v>
      </c>
      <c r="L130" s="394">
        <f t="shared" si="21"/>
        <v>1372</v>
      </c>
      <c r="M130" s="417">
        <f>Données!AE130</f>
        <v>1</v>
      </c>
      <c r="N130" s="394">
        <v>1</v>
      </c>
      <c r="O130" s="418">
        <f t="shared" si="14"/>
        <v>0</v>
      </c>
      <c r="P130" s="394">
        <f t="shared" si="22"/>
        <v>0</v>
      </c>
      <c r="Q130" s="419">
        <f t="shared" si="15"/>
        <v>21150.657472576655</v>
      </c>
      <c r="R130" s="394">
        <f t="shared" si="16"/>
        <v>0</v>
      </c>
      <c r="S130" s="393">
        <f t="shared" si="17"/>
        <v>0</v>
      </c>
      <c r="T130" s="418">
        <f t="shared" si="18"/>
        <v>0</v>
      </c>
      <c r="U130" s="422">
        <f t="shared" si="23"/>
        <v>21150.657472576655</v>
      </c>
    </row>
    <row r="131" spans="1:21" x14ac:dyDescent="0.25">
      <c r="A131" s="148">
        <f>Données!A131</f>
        <v>5624</v>
      </c>
      <c r="B131" s="149" t="str">
        <f>Données!B131</f>
        <v>Bussigny</v>
      </c>
      <c r="C131" s="392">
        <f>Données!C131</f>
        <v>11667</v>
      </c>
      <c r="D131" s="379">
        <f t="shared" si="19"/>
        <v>1000</v>
      </c>
      <c r="E131" s="379">
        <f t="shared" si="24"/>
        <v>2000</v>
      </c>
      <c r="F131" s="388">
        <f t="shared" si="24"/>
        <v>2000</v>
      </c>
      <c r="G131" s="378">
        <f t="shared" si="24"/>
        <v>6667</v>
      </c>
      <c r="H131" s="379">
        <f t="shared" si="24"/>
        <v>0</v>
      </c>
      <c r="I131" s="388">
        <f t="shared" si="24"/>
        <v>0</v>
      </c>
      <c r="J131" s="388">
        <f t="shared" si="24"/>
        <v>0</v>
      </c>
      <c r="K131" s="389">
        <f t="shared" si="20"/>
        <v>0</v>
      </c>
      <c r="L131" s="394">
        <f t="shared" si="21"/>
        <v>41668</v>
      </c>
      <c r="M131" s="417">
        <f>Données!AE131</f>
        <v>1</v>
      </c>
      <c r="N131" s="394">
        <v>1</v>
      </c>
      <c r="O131" s="418">
        <f t="shared" si="14"/>
        <v>0</v>
      </c>
      <c r="P131" s="394">
        <f t="shared" si="22"/>
        <v>0</v>
      </c>
      <c r="Q131" s="419">
        <f t="shared" si="15"/>
        <v>359715.33634482778</v>
      </c>
      <c r="R131" s="394">
        <f t="shared" si="16"/>
        <v>0</v>
      </c>
      <c r="S131" s="393">
        <f t="shared" si="17"/>
        <v>0</v>
      </c>
      <c r="T131" s="418">
        <f t="shared" si="18"/>
        <v>0</v>
      </c>
      <c r="U131" s="422">
        <f t="shared" si="23"/>
        <v>359715.33634482778</v>
      </c>
    </row>
    <row r="132" spans="1:21" x14ac:dyDescent="0.25">
      <c r="A132" s="148">
        <f>Données!A132</f>
        <v>5627</v>
      </c>
      <c r="B132" s="149" t="str">
        <f>Données!B132</f>
        <v>Chavannes-près-Renens</v>
      </c>
      <c r="C132" s="392">
        <f>Données!C132</f>
        <v>9771</v>
      </c>
      <c r="D132" s="379">
        <f t="shared" si="19"/>
        <v>1000</v>
      </c>
      <c r="E132" s="379">
        <f t="shared" si="24"/>
        <v>2000</v>
      </c>
      <c r="F132" s="388">
        <f t="shared" si="24"/>
        <v>2000</v>
      </c>
      <c r="G132" s="378">
        <f t="shared" si="24"/>
        <v>4771</v>
      </c>
      <c r="H132" s="379">
        <f t="shared" si="24"/>
        <v>0</v>
      </c>
      <c r="I132" s="388">
        <f t="shared" si="24"/>
        <v>0</v>
      </c>
      <c r="J132" s="388">
        <f t="shared" si="24"/>
        <v>0</v>
      </c>
      <c r="K132" s="389">
        <f t="shared" si="20"/>
        <v>0</v>
      </c>
      <c r="L132" s="394">
        <f t="shared" si="21"/>
        <v>34084</v>
      </c>
      <c r="M132" s="417">
        <f>Données!AE132</f>
        <v>1</v>
      </c>
      <c r="N132" s="394">
        <v>1</v>
      </c>
      <c r="O132" s="418">
        <f t="shared" si="14"/>
        <v>0</v>
      </c>
      <c r="P132" s="394">
        <f t="shared" si="22"/>
        <v>0</v>
      </c>
      <c r="Q132" s="419">
        <f t="shared" si="15"/>
        <v>301258.12560429517</v>
      </c>
      <c r="R132" s="394">
        <f t="shared" si="16"/>
        <v>0</v>
      </c>
      <c r="S132" s="393">
        <f t="shared" si="17"/>
        <v>0</v>
      </c>
      <c r="T132" s="418">
        <f t="shared" si="18"/>
        <v>0</v>
      </c>
      <c r="U132" s="422">
        <f t="shared" si="23"/>
        <v>301258.12560429517</v>
      </c>
    </row>
    <row r="133" spans="1:21" x14ac:dyDescent="0.25">
      <c r="A133" s="148">
        <f>Données!A133</f>
        <v>5628</v>
      </c>
      <c r="B133" s="149" t="str">
        <f>Données!B133</f>
        <v>Chigny</v>
      </c>
      <c r="C133" s="392">
        <f>Données!C133</f>
        <v>420</v>
      </c>
      <c r="D133" s="379">
        <f t="shared" si="19"/>
        <v>420</v>
      </c>
      <c r="E133" s="379">
        <f t="shared" si="24"/>
        <v>0</v>
      </c>
      <c r="F133" s="388">
        <f t="shared" si="24"/>
        <v>0</v>
      </c>
      <c r="G133" s="378">
        <f t="shared" si="24"/>
        <v>0</v>
      </c>
      <c r="H133" s="379">
        <f t="shared" si="24"/>
        <v>0</v>
      </c>
      <c r="I133" s="388">
        <f t="shared" si="24"/>
        <v>0</v>
      </c>
      <c r="J133" s="388">
        <f t="shared" si="24"/>
        <v>0</v>
      </c>
      <c r="K133" s="389">
        <f t="shared" si="20"/>
        <v>0</v>
      </c>
      <c r="L133" s="394">
        <f t="shared" si="21"/>
        <v>840</v>
      </c>
      <c r="M133" s="417">
        <f>Données!AE133</f>
        <v>0</v>
      </c>
      <c r="N133" s="394">
        <v>0</v>
      </c>
      <c r="O133" s="418">
        <f t="shared" si="14"/>
        <v>420</v>
      </c>
      <c r="P133" s="394">
        <f t="shared" si="22"/>
        <v>840</v>
      </c>
      <c r="Q133" s="419">
        <f t="shared" si="15"/>
        <v>12949.382126067339</v>
      </c>
      <c r="R133" s="394">
        <f t="shared" si="16"/>
        <v>28299.173422971249</v>
      </c>
      <c r="S133" s="393">
        <f t="shared" si="17"/>
        <v>21086.381818181817</v>
      </c>
      <c r="T133" s="418">
        <f t="shared" si="18"/>
        <v>0</v>
      </c>
      <c r="U133" s="422">
        <f t="shared" si="23"/>
        <v>62334.937367220409</v>
      </c>
    </row>
    <row r="134" spans="1:21" x14ac:dyDescent="0.25">
      <c r="A134" s="148">
        <f>Données!A134</f>
        <v>5629</v>
      </c>
      <c r="B134" s="149" t="str">
        <f>Données!B134</f>
        <v>Clarmont</v>
      </c>
      <c r="C134" s="392">
        <f>Données!C134</f>
        <v>228</v>
      </c>
      <c r="D134" s="379">
        <f t="shared" si="19"/>
        <v>228</v>
      </c>
      <c r="E134" s="379">
        <f t="shared" si="24"/>
        <v>0</v>
      </c>
      <c r="F134" s="388">
        <f t="shared" si="24"/>
        <v>0</v>
      </c>
      <c r="G134" s="378">
        <f t="shared" si="24"/>
        <v>0</v>
      </c>
      <c r="H134" s="379">
        <f t="shared" si="24"/>
        <v>0</v>
      </c>
      <c r="I134" s="388">
        <f t="shared" si="24"/>
        <v>0</v>
      </c>
      <c r="J134" s="388">
        <f t="shared" si="24"/>
        <v>0</v>
      </c>
      <c r="K134" s="389">
        <f t="shared" si="20"/>
        <v>0</v>
      </c>
      <c r="L134" s="394">
        <f t="shared" si="21"/>
        <v>456</v>
      </c>
      <c r="M134" s="417">
        <f>Données!AE134</f>
        <v>0</v>
      </c>
      <c r="N134" s="394">
        <v>0</v>
      </c>
      <c r="O134" s="418">
        <f t="shared" si="14"/>
        <v>228</v>
      </c>
      <c r="P134" s="394">
        <f t="shared" si="22"/>
        <v>456</v>
      </c>
      <c r="Q134" s="419">
        <f t="shared" si="15"/>
        <v>7029.6645827222701</v>
      </c>
      <c r="R134" s="394">
        <f t="shared" si="16"/>
        <v>15362.408429612964</v>
      </c>
      <c r="S134" s="393">
        <f t="shared" si="17"/>
        <v>11446.892987012987</v>
      </c>
      <c r="T134" s="418">
        <f t="shared" si="18"/>
        <v>0</v>
      </c>
      <c r="U134" s="422">
        <f t="shared" si="23"/>
        <v>33838.96599934822</v>
      </c>
    </row>
    <row r="135" spans="1:21" x14ac:dyDescent="0.25">
      <c r="A135" s="148">
        <f>Données!A135</f>
        <v>5631</v>
      </c>
      <c r="B135" s="149" t="str">
        <f>Données!B135</f>
        <v>Denens</v>
      </c>
      <c r="C135" s="392">
        <f>Données!C135</f>
        <v>742</v>
      </c>
      <c r="D135" s="379">
        <f t="shared" si="19"/>
        <v>742</v>
      </c>
      <c r="E135" s="379">
        <f t="shared" si="24"/>
        <v>0</v>
      </c>
      <c r="F135" s="388">
        <f t="shared" si="24"/>
        <v>0</v>
      </c>
      <c r="G135" s="378">
        <f t="shared" si="24"/>
        <v>0</v>
      </c>
      <c r="H135" s="379">
        <f t="shared" si="24"/>
        <v>0</v>
      </c>
      <c r="I135" s="388">
        <f t="shared" si="24"/>
        <v>0</v>
      </c>
      <c r="J135" s="388">
        <f t="shared" si="24"/>
        <v>0</v>
      </c>
      <c r="K135" s="389">
        <f t="shared" si="20"/>
        <v>0</v>
      </c>
      <c r="L135" s="394">
        <f t="shared" si="21"/>
        <v>1484</v>
      </c>
      <c r="M135" s="417">
        <f>Données!AE135</f>
        <v>0</v>
      </c>
      <c r="N135" s="394">
        <v>0</v>
      </c>
      <c r="O135" s="418">
        <f t="shared" si="14"/>
        <v>742</v>
      </c>
      <c r="P135" s="394">
        <f t="shared" si="22"/>
        <v>1484</v>
      </c>
      <c r="Q135" s="419">
        <f t="shared" si="15"/>
        <v>22877.241756052303</v>
      </c>
      <c r="R135" s="394">
        <f t="shared" si="16"/>
        <v>49995.206380582546</v>
      </c>
      <c r="S135" s="393">
        <f t="shared" si="17"/>
        <v>37252.60787878788</v>
      </c>
      <c r="T135" s="418">
        <f t="shared" si="18"/>
        <v>0</v>
      </c>
      <c r="U135" s="422">
        <f t="shared" si="23"/>
        <v>110125.05601542273</v>
      </c>
    </row>
    <row r="136" spans="1:21" x14ac:dyDescent="0.25">
      <c r="A136" s="148">
        <f>Données!A136</f>
        <v>5632</v>
      </c>
      <c r="B136" s="149" t="str">
        <f>Données!B136</f>
        <v>Denges</v>
      </c>
      <c r="C136" s="392">
        <f>Données!C136</f>
        <v>1837</v>
      </c>
      <c r="D136" s="379">
        <f t="shared" si="19"/>
        <v>1000</v>
      </c>
      <c r="E136" s="379">
        <f t="shared" si="24"/>
        <v>837</v>
      </c>
      <c r="F136" s="388">
        <f t="shared" si="24"/>
        <v>0</v>
      </c>
      <c r="G136" s="378">
        <f t="shared" si="24"/>
        <v>0</v>
      </c>
      <c r="H136" s="379">
        <f t="shared" si="24"/>
        <v>0</v>
      </c>
      <c r="I136" s="388">
        <f t="shared" si="24"/>
        <v>0</v>
      </c>
      <c r="J136" s="388">
        <f t="shared" si="24"/>
        <v>0</v>
      </c>
      <c r="K136" s="389">
        <f t="shared" si="20"/>
        <v>0</v>
      </c>
      <c r="L136" s="394">
        <f t="shared" si="21"/>
        <v>4511</v>
      </c>
      <c r="M136" s="417">
        <f>Données!AE136</f>
        <v>0</v>
      </c>
      <c r="N136" s="394">
        <v>0</v>
      </c>
      <c r="O136" s="418">
        <f t="shared" ref="O136:O199" si="25">IF(N136=0,C136,0)</f>
        <v>1837</v>
      </c>
      <c r="P136" s="394">
        <f t="shared" si="22"/>
        <v>4511</v>
      </c>
      <c r="Q136" s="419">
        <f t="shared" ref="Q136:Q199" si="26">$Q$6/$C$308*C136</f>
        <v>56638.130870442154</v>
      </c>
      <c r="R136" s="394">
        <f t="shared" ref="R136:R199" si="27">$R$6/$O$308*O136</f>
        <v>123775.19423332902</v>
      </c>
      <c r="S136" s="393">
        <f t="shared" ref="S136:S199" si="28">$S$6/$P$308*P136</f>
        <v>113238.89093073593</v>
      </c>
      <c r="T136" s="418">
        <f t="shared" ref="T136:T199" si="29">IF(M136&gt;N136,-R136-S136,IF(M136&lt;N136,C136*$R$311+L136*$S$311,IF(M136=N136,0,"Erreur")))</f>
        <v>0</v>
      </c>
      <c r="U136" s="422">
        <f t="shared" si="23"/>
        <v>293652.21603450709</v>
      </c>
    </row>
    <row r="137" spans="1:21" x14ac:dyDescent="0.25">
      <c r="A137" s="148">
        <f>Données!A137</f>
        <v>5633</v>
      </c>
      <c r="B137" s="149" t="str">
        <f>Données!B137</f>
        <v>Echandens</v>
      </c>
      <c r="C137" s="392">
        <f>Données!C137</f>
        <v>3004</v>
      </c>
      <c r="D137" s="379">
        <f t="shared" ref="D137:D200" si="30">IF(C137&gt;$D$5,$D$5-$D$4,C137)</f>
        <v>1000</v>
      </c>
      <c r="E137" s="379">
        <f t="shared" si="24"/>
        <v>2000</v>
      </c>
      <c r="F137" s="388">
        <f t="shared" si="24"/>
        <v>4</v>
      </c>
      <c r="G137" s="378">
        <f t="shared" si="24"/>
        <v>0</v>
      </c>
      <c r="H137" s="379">
        <f t="shared" si="24"/>
        <v>0</v>
      </c>
      <c r="I137" s="388">
        <f t="shared" si="24"/>
        <v>0</v>
      </c>
      <c r="J137" s="388">
        <f t="shared" si="24"/>
        <v>0</v>
      </c>
      <c r="K137" s="389">
        <f t="shared" ref="K137:K200" si="31">IF($C137&lt;K$4,0,$C137-K$4)</f>
        <v>0</v>
      </c>
      <c r="L137" s="394">
        <f t="shared" ref="L137:L200" si="32">SUMPRODUCT($D$6:$K$6,D137:K137)</f>
        <v>8014</v>
      </c>
      <c r="M137" s="417">
        <f>Données!AE137</f>
        <v>0</v>
      </c>
      <c r="N137" s="394">
        <v>0</v>
      </c>
      <c r="O137" s="418">
        <f t="shared" si="25"/>
        <v>3004</v>
      </c>
      <c r="P137" s="394">
        <f t="shared" ref="P137:P200" si="33">IF(N137=0,L137,0)</f>
        <v>8014</v>
      </c>
      <c r="Q137" s="419">
        <f t="shared" si="26"/>
        <v>92618.914063586402</v>
      </c>
      <c r="R137" s="394">
        <f t="shared" si="27"/>
        <v>202406.46895858485</v>
      </c>
      <c r="S137" s="393">
        <f t="shared" si="28"/>
        <v>201174.12367965365</v>
      </c>
      <c r="T137" s="418">
        <f t="shared" si="29"/>
        <v>0</v>
      </c>
      <c r="U137" s="422">
        <f t="shared" ref="U137:U200" si="34">SUM(Q137:T137)</f>
        <v>496199.50670182495</v>
      </c>
    </row>
    <row r="138" spans="1:21" x14ac:dyDescent="0.25">
      <c r="A138" s="148">
        <f>Données!A138</f>
        <v>5634</v>
      </c>
      <c r="B138" s="149" t="str">
        <f>Données!B138</f>
        <v>Echichens</v>
      </c>
      <c r="C138" s="392">
        <f>Données!C138</f>
        <v>3218</v>
      </c>
      <c r="D138" s="379">
        <f t="shared" si="30"/>
        <v>1000</v>
      </c>
      <c r="E138" s="379">
        <f t="shared" si="24"/>
        <v>2000</v>
      </c>
      <c r="F138" s="388">
        <f t="shared" si="24"/>
        <v>218</v>
      </c>
      <c r="G138" s="378">
        <f t="shared" si="24"/>
        <v>0</v>
      </c>
      <c r="H138" s="379">
        <f t="shared" si="24"/>
        <v>0</v>
      </c>
      <c r="I138" s="388">
        <f t="shared" si="24"/>
        <v>0</v>
      </c>
      <c r="J138" s="388">
        <f t="shared" si="24"/>
        <v>0</v>
      </c>
      <c r="K138" s="389">
        <f t="shared" si="31"/>
        <v>0</v>
      </c>
      <c r="L138" s="394">
        <f t="shared" si="32"/>
        <v>8763</v>
      </c>
      <c r="M138" s="417">
        <f>Données!AE138</f>
        <v>0</v>
      </c>
      <c r="N138" s="394">
        <v>0</v>
      </c>
      <c r="O138" s="418">
        <f t="shared" si="25"/>
        <v>3218</v>
      </c>
      <c r="P138" s="394">
        <f t="shared" si="33"/>
        <v>8763</v>
      </c>
      <c r="Q138" s="419">
        <f t="shared" si="26"/>
        <v>99216.932575439758</v>
      </c>
      <c r="R138" s="394">
        <f t="shared" si="27"/>
        <v>216825.5716074321</v>
      </c>
      <c r="S138" s="393">
        <f t="shared" si="28"/>
        <v>219976.14746753246</v>
      </c>
      <c r="T138" s="418">
        <f t="shared" si="29"/>
        <v>0</v>
      </c>
      <c r="U138" s="422">
        <f t="shared" si="34"/>
        <v>536018.65165040432</v>
      </c>
    </row>
    <row r="139" spans="1:21" x14ac:dyDescent="0.25">
      <c r="A139" s="148">
        <f>Données!A139</f>
        <v>5635</v>
      </c>
      <c r="B139" s="149" t="str">
        <f>Données!B139</f>
        <v>Ecublens</v>
      </c>
      <c r="C139" s="392">
        <f>Données!C139</f>
        <v>13391</v>
      </c>
      <c r="D139" s="379">
        <f t="shared" si="30"/>
        <v>1000</v>
      </c>
      <c r="E139" s="379">
        <f t="shared" si="24"/>
        <v>2000</v>
      </c>
      <c r="F139" s="388">
        <f t="shared" si="24"/>
        <v>2000</v>
      </c>
      <c r="G139" s="378">
        <f t="shared" si="24"/>
        <v>7000</v>
      </c>
      <c r="H139" s="379">
        <f t="shared" si="24"/>
        <v>1391</v>
      </c>
      <c r="I139" s="388">
        <f t="shared" si="24"/>
        <v>0</v>
      </c>
      <c r="J139" s="388">
        <f t="shared" si="24"/>
        <v>0</v>
      </c>
      <c r="K139" s="389">
        <f t="shared" si="31"/>
        <v>0</v>
      </c>
      <c r="L139" s="394">
        <f t="shared" si="32"/>
        <v>49955</v>
      </c>
      <c r="M139" s="417">
        <f>Données!AE139</f>
        <v>1</v>
      </c>
      <c r="N139" s="394">
        <v>1</v>
      </c>
      <c r="O139" s="418">
        <f t="shared" si="25"/>
        <v>0</v>
      </c>
      <c r="P139" s="394">
        <f t="shared" si="33"/>
        <v>0</v>
      </c>
      <c r="Q139" s="419">
        <f t="shared" si="26"/>
        <v>412869.46678611368</v>
      </c>
      <c r="R139" s="394">
        <f t="shared" si="27"/>
        <v>0</v>
      </c>
      <c r="S139" s="393">
        <f t="shared" si="28"/>
        <v>0</v>
      </c>
      <c r="T139" s="418">
        <f t="shared" si="29"/>
        <v>0</v>
      </c>
      <c r="U139" s="422">
        <f t="shared" si="34"/>
        <v>412869.46678611368</v>
      </c>
    </row>
    <row r="140" spans="1:21" x14ac:dyDescent="0.25">
      <c r="A140" s="148">
        <f>Données!A140</f>
        <v>5636</v>
      </c>
      <c r="B140" s="149" t="str">
        <f>Données!B140</f>
        <v>Etoy</v>
      </c>
      <c r="C140" s="392">
        <f>Données!C140</f>
        <v>2966</v>
      </c>
      <c r="D140" s="379">
        <f t="shared" si="30"/>
        <v>1000</v>
      </c>
      <c r="E140" s="379">
        <f t="shared" si="24"/>
        <v>1966</v>
      </c>
      <c r="F140" s="388">
        <f t="shared" si="24"/>
        <v>0</v>
      </c>
      <c r="G140" s="378">
        <f t="shared" si="24"/>
        <v>0</v>
      </c>
      <c r="H140" s="379">
        <f t="shared" si="24"/>
        <v>0</v>
      </c>
      <c r="I140" s="388">
        <f t="shared" si="24"/>
        <v>0</v>
      </c>
      <c r="J140" s="388">
        <f t="shared" si="24"/>
        <v>0</v>
      </c>
      <c r="K140" s="389">
        <f t="shared" si="31"/>
        <v>0</v>
      </c>
      <c r="L140" s="394">
        <f t="shared" si="32"/>
        <v>7898</v>
      </c>
      <c r="M140" s="417">
        <f>Données!AE140</f>
        <v>0</v>
      </c>
      <c r="N140" s="394">
        <v>0</v>
      </c>
      <c r="O140" s="418">
        <f t="shared" si="25"/>
        <v>2966</v>
      </c>
      <c r="P140" s="394">
        <f t="shared" si="33"/>
        <v>7898</v>
      </c>
      <c r="Q140" s="419">
        <f t="shared" si="26"/>
        <v>91447.303299799358</v>
      </c>
      <c r="R140" s="394">
        <f t="shared" si="27"/>
        <v>199846.06755364937</v>
      </c>
      <c r="S140" s="393">
        <f t="shared" si="28"/>
        <v>198262.19476190474</v>
      </c>
      <c r="T140" s="418">
        <f t="shared" si="29"/>
        <v>0</v>
      </c>
      <c r="U140" s="422">
        <f t="shared" si="34"/>
        <v>489555.56561535352</v>
      </c>
    </row>
    <row r="141" spans="1:21" x14ac:dyDescent="0.25">
      <c r="A141" s="148">
        <f>Données!A141</f>
        <v>5637</v>
      </c>
      <c r="B141" s="149" t="str">
        <f>Données!B141</f>
        <v>Lavigny</v>
      </c>
      <c r="C141" s="392">
        <f>Données!C141</f>
        <v>1100</v>
      </c>
      <c r="D141" s="379">
        <f t="shared" si="30"/>
        <v>1000</v>
      </c>
      <c r="E141" s="379">
        <f t="shared" si="24"/>
        <v>100</v>
      </c>
      <c r="F141" s="388">
        <f t="shared" si="24"/>
        <v>0</v>
      </c>
      <c r="G141" s="378">
        <f t="shared" si="24"/>
        <v>0</v>
      </c>
      <c r="H141" s="379">
        <f t="shared" si="24"/>
        <v>0</v>
      </c>
      <c r="I141" s="388">
        <f t="shared" si="24"/>
        <v>0</v>
      </c>
      <c r="J141" s="388">
        <f t="shared" si="24"/>
        <v>0</v>
      </c>
      <c r="K141" s="389">
        <f t="shared" si="31"/>
        <v>0</v>
      </c>
      <c r="L141" s="394">
        <f t="shared" si="32"/>
        <v>2300</v>
      </c>
      <c r="M141" s="417">
        <f>Données!AE141</f>
        <v>0</v>
      </c>
      <c r="N141" s="394">
        <v>0</v>
      </c>
      <c r="O141" s="418">
        <f t="shared" si="25"/>
        <v>1100</v>
      </c>
      <c r="P141" s="394">
        <f t="shared" si="33"/>
        <v>2300</v>
      </c>
      <c r="Q141" s="419">
        <f t="shared" si="26"/>
        <v>33915.048425414461</v>
      </c>
      <c r="R141" s="394">
        <f t="shared" si="27"/>
        <v>74116.882774448517</v>
      </c>
      <c r="S141" s="393">
        <f t="shared" si="28"/>
        <v>57736.521645021639</v>
      </c>
      <c r="T141" s="418">
        <f t="shared" si="29"/>
        <v>0</v>
      </c>
      <c r="U141" s="422">
        <f t="shared" si="34"/>
        <v>165768.4528448846</v>
      </c>
    </row>
    <row r="142" spans="1:21" x14ac:dyDescent="0.25">
      <c r="A142" s="148">
        <f>Données!A142</f>
        <v>5638</v>
      </c>
      <c r="B142" s="149" t="str">
        <f>Données!B142</f>
        <v>Lonay</v>
      </c>
      <c r="C142" s="392">
        <f>Données!C142</f>
        <v>2733</v>
      </c>
      <c r="D142" s="379">
        <f t="shared" si="30"/>
        <v>1000</v>
      </c>
      <c r="E142" s="379">
        <f t="shared" si="24"/>
        <v>1733</v>
      </c>
      <c r="F142" s="388">
        <f t="shared" si="24"/>
        <v>0</v>
      </c>
      <c r="G142" s="378">
        <f t="shared" si="24"/>
        <v>0</v>
      </c>
      <c r="H142" s="379">
        <f t="shared" si="24"/>
        <v>0</v>
      </c>
      <c r="I142" s="388">
        <f t="shared" si="24"/>
        <v>0</v>
      </c>
      <c r="J142" s="388">
        <f t="shared" si="24"/>
        <v>0</v>
      </c>
      <c r="K142" s="389">
        <f t="shared" si="31"/>
        <v>0</v>
      </c>
      <c r="L142" s="394">
        <f t="shared" si="32"/>
        <v>7199</v>
      </c>
      <c r="M142" s="417">
        <f>Données!AE142</f>
        <v>0</v>
      </c>
      <c r="N142" s="394">
        <v>0</v>
      </c>
      <c r="O142" s="418">
        <f t="shared" si="25"/>
        <v>2733</v>
      </c>
      <c r="P142" s="394">
        <f t="shared" si="33"/>
        <v>7199</v>
      </c>
      <c r="Q142" s="419">
        <f t="shared" si="26"/>
        <v>84263.479406052473</v>
      </c>
      <c r="R142" s="394">
        <f t="shared" si="27"/>
        <v>184146.76420233437</v>
      </c>
      <c r="S142" s="393">
        <f t="shared" si="28"/>
        <v>180715.31274891773</v>
      </c>
      <c r="T142" s="418">
        <f t="shared" si="29"/>
        <v>0</v>
      </c>
      <c r="U142" s="422">
        <f t="shared" si="34"/>
        <v>449125.55635730457</v>
      </c>
    </row>
    <row r="143" spans="1:21" x14ac:dyDescent="0.25">
      <c r="A143" s="148">
        <f>Données!A143</f>
        <v>5639</v>
      </c>
      <c r="B143" s="149" t="str">
        <f>Données!B143</f>
        <v>Lully</v>
      </c>
      <c r="C143" s="392">
        <f>Données!C143</f>
        <v>838</v>
      </c>
      <c r="D143" s="379">
        <f t="shared" si="30"/>
        <v>838</v>
      </c>
      <c r="E143" s="379">
        <f t="shared" si="24"/>
        <v>0</v>
      </c>
      <c r="F143" s="388">
        <f t="shared" si="24"/>
        <v>0</v>
      </c>
      <c r="G143" s="378">
        <f t="shared" si="24"/>
        <v>0</v>
      </c>
      <c r="H143" s="379">
        <f t="shared" si="24"/>
        <v>0</v>
      </c>
      <c r="I143" s="388">
        <f t="shared" si="24"/>
        <v>0</v>
      </c>
      <c r="J143" s="388">
        <f t="shared" si="24"/>
        <v>0</v>
      </c>
      <c r="K143" s="389">
        <f t="shared" si="31"/>
        <v>0</v>
      </c>
      <c r="L143" s="394">
        <f t="shared" si="32"/>
        <v>1676</v>
      </c>
      <c r="M143" s="417">
        <f>Données!AE143</f>
        <v>0</v>
      </c>
      <c r="N143" s="394">
        <v>0</v>
      </c>
      <c r="O143" s="418">
        <f t="shared" si="25"/>
        <v>838</v>
      </c>
      <c r="P143" s="394">
        <f t="shared" si="33"/>
        <v>1676</v>
      </c>
      <c r="Q143" s="419">
        <f t="shared" si="26"/>
        <v>25837.100527724837</v>
      </c>
      <c r="R143" s="394">
        <f t="shared" si="27"/>
        <v>56463.588877261689</v>
      </c>
      <c r="S143" s="393">
        <f t="shared" si="28"/>
        <v>42072.352294372293</v>
      </c>
      <c r="T143" s="418">
        <f t="shared" si="29"/>
        <v>0</v>
      </c>
      <c r="U143" s="422">
        <f t="shared" si="34"/>
        <v>124373.04169935882</v>
      </c>
    </row>
    <row r="144" spans="1:21" x14ac:dyDescent="0.25">
      <c r="A144" s="148">
        <f>Données!A144</f>
        <v>5640</v>
      </c>
      <c r="B144" s="149" t="str">
        <f>Données!B144</f>
        <v>Lussy-sur-Morges</v>
      </c>
      <c r="C144" s="392">
        <f>Données!C144</f>
        <v>719</v>
      </c>
      <c r="D144" s="379">
        <f t="shared" si="30"/>
        <v>719</v>
      </c>
      <c r="E144" s="379">
        <f t="shared" si="24"/>
        <v>0</v>
      </c>
      <c r="F144" s="388">
        <f t="shared" si="24"/>
        <v>0</v>
      </c>
      <c r="G144" s="378">
        <f t="shared" si="24"/>
        <v>0</v>
      </c>
      <c r="H144" s="379">
        <f t="shared" si="24"/>
        <v>0</v>
      </c>
      <c r="I144" s="388">
        <f t="shared" si="24"/>
        <v>0</v>
      </c>
      <c r="J144" s="388">
        <f t="shared" si="24"/>
        <v>0</v>
      </c>
      <c r="K144" s="389">
        <f t="shared" si="31"/>
        <v>0</v>
      </c>
      <c r="L144" s="394">
        <f t="shared" si="32"/>
        <v>1438</v>
      </c>
      <c r="M144" s="417">
        <f>Données!AE144</f>
        <v>1</v>
      </c>
      <c r="N144" s="394">
        <v>1</v>
      </c>
      <c r="O144" s="418">
        <f t="shared" si="25"/>
        <v>0</v>
      </c>
      <c r="P144" s="394">
        <f t="shared" si="33"/>
        <v>0</v>
      </c>
      <c r="Q144" s="419">
        <f t="shared" si="26"/>
        <v>22168.108925339089</v>
      </c>
      <c r="R144" s="394">
        <f t="shared" si="27"/>
        <v>0</v>
      </c>
      <c r="S144" s="393">
        <f t="shared" si="28"/>
        <v>0</v>
      </c>
      <c r="T144" s="418">
        <f t="shared" si="29"/>
        <v>0</v>
      </c>
      <c r="U144" s="422">
        <f t="shared" si="34"/>
        <v>22168.108925339089</v>
      </c>
    </row>
    <row r="145" spans="1:21" x14ac:dyDescent="0.25">
      <c r="A145" s="148">
        <f>Données!A145</f>
        <v>5642</v>
      </c>
      <c r="B145" s="149" t="str">
        <f>Données!B145</f>
        <v>Morges</v>
      </c>
      <c r="C145" s="392">
        <f>Données!C145</f>
        <v>17715</v>
      </c>
      <c r="D145" s="379">
        <f t="shared" si="30"/>
        <v>1000</v>
      </c>
      <c r="E145" s="379">
        <f t="shared" si="24"/>
        <v>2000</v>
      </c>
      <c r="F145" s="388">
        <f t="shared" si="24"/>
        <v>2000</v>
      </c>
      <c r="G145" s="378">
        <f t="shared" si="24"/>
        <v>7000</v>
      </c>
      <c r="H145" s="379">
        <f t="shared" si="24"/>
        <v>3000</v>
      </c>
      <c r="I145" s="388">
        <f t="shared" si="24"/>
        <v>2715</v>
      </c>
      <c r="J145" s="388">
        <f t="shared" si="24"/>
        <v>0</v>
      </c>
      <c r="K145" s="389">
        <f t="shared" si="31"/>
        <v>0</v>
      </c>
      <c r="L145" s="394">
        <f t="shared" si="32"/>
        <v>74290</v>
      </c>
      <c r="M145" s="417">
        <f>Données!AE145</f>
        <v>1</v>
      </c>
      <c r="N145" s="394">
        <v>1</v>
      </c>
      <c r="O145" s="418">
        <f t="shared" si="25"/>
        <v>0</v>
      </c>
      <c r="P145" s="394">
        <f t="shared" si="33"/>
        <v>0</v>
      </c>
      <c r="Q145" s="419">
        <f t="shared" si="26"/>
        <v>546186.4389601975</v>
      </c>
      <c r="R145" s="394">
        <f t="shared" si="27"/>
        <v>0</v>
      </c>
      <c r="S145" s="393">
        <f t="shared" si="28"/>
        <v>0</v>
      </c>
      <c r="T145" s="418">
        <f t="shared" si="29"/>
        <v>0</v>
      </c>
      <c r="U145" s="422">
        <f t="shared" si="34"/>
        <v>546186.4389601975</v>
      </c>
    </row>
    <row r="146" spans="1:21" x14ac:dyDescent="0.25">
      <c r="A146" s="148">
        <f>Données!A146</f>
        <v>5643</v>
      </c>
      <c r="B146" s="149" t="str">
        <f>Données!B146</f>
        <v>Préverenges</v>
      </c>
      <c r="C146" s="392">
        <f>Données!C146</f>
        <v>5273</v>
      </c>
      <c r="D146" s="379">
        <f t="shared" si="30"/>
        <v>1000</v>
      </c>
      <c r="E146" s="379">
        <f t="shared" si="24"/>
        <v>2000</v>
      </c>
      <c r="F146" s="388">
        <f t="shared" si="24"/>
        <v>2000</v>
      </c>
      <c r="G146" s="378">
        <f t="shared" si="24"/>
        <v>273</v>
      </c>
      <c r="H146" s="379">
        <f t="shared" si="24"/>
        <v>0</v>
      </c>
      <c r="I146" s="388">
        <f t="shared" si="24"/>
        <v>0</v>
      </c>
      <c r="J146" s="388">
        <f t="shared" si="24"/>
        <v>0</v>
      </c>
      <c r="K146" s="389">
        <f t="shared" si="31"/>
        <v>0</v>
      </c>
      <c r="L146" s="394">
        <f t="shared" si="32"/>
        <v>16092</v>
      </c>
      <c r="M146" s="417">
        <f>Données!AE146</f>
        <v>1</v>
      </c>
      <c r="N146" s="394">
        <v>1</v>
      </c>
      <c r="O146" s="418">
        <f t="shared" si="25"/>
        <v>0</v>
      </c>
      <c r="P146" s="394">
        <f t="shared" si="33"/>
        <v>0</v>
      </c>
      <c r="Q146" s="419">
        <f t="shared" si="26"/>
        <v>162576.40940655497</v>
      </c>
      <c r="R146" s="394">
        <f t="shared" si="27"/>
        <v>0</v>
      </c>
      <c r="S146" s="393">
        <f t="shared" si="28"/>
        <v>0</v>
      </c>
      <c r="T146" s="418">
        <f t="shared" si="29"/>
        <v>0</v>
      </c>
      <c r="U146" s="422">
        <f t="shared" si="34"/>
        <v>162576.40940655497</v>
      </c>
    </row>
    <row r="147" spans="1:21" x14ac:dyDescent="0.25">
      <c r="A147" s="148">
        <f>Données!A147</f>
        <v>5645</v>
      </c>
      <c r="B147" s="149" t="str">
        <f>Données!B147</f>
        <v>Romanel-sur-Morges</v>
      </c>
      <c r="C147" s="392">
        <f>Données!C147</f>
        <v>454</v>
      </c>
      <c r="D147" s="379">
        <f t="shared" si="30"/>
        <v>454</v>
      </c>
      <c r="E147" s="379">
        <f t="shared" si="24"/>
        <v>0</v>
      </c>
      <c r="F147" s="388">
        <f t="shared" si="24"/>
        <v>0</v>
      </c>
      <c r="G147" s="378">
        <f t="shared" si="24"/>
        <v>0</v>
      </c>
      <c r="H147" s="379">
        <f t="shared" si="24"/>
        <v>0</v>
      </c>
      <c r="I147" s="388">
        <f t="shared" si="24"/>
        <v>0</v>
      </c>
      <c r="J147" s="388">
        <f t="shared" si="24"/>
        <v>0</v>
      </c>
      <c r="K147" s="389">
        <f t="shared" si="31"/>
        <v>0</v>
      </c>
      <c r="L147" s="394">
        <f t="shared" si="32"/>
        <v>908</v>
      </c>
      <c r="M147" s="417">
        <f>Données!AE147</f>
        <v>0</v>
      </c>
      <c r="N147" s="394">
        <v>0</v>
      </c>
      <c r="O147" s="418">
        <f t="shared" si="25"/>
        <v>454</v>
      </c>
      <c r="P147" s="394">
        <f t="shared" si="33"/>
        <v>908</v>
      </c>
      <c r="Q147" s="419">
        <f t="shared" si="26"/>
        <v>13997.665441034696</v>
      </c>
      <c r="R147" s="394">
        <f t="shared" si="27"/>
        <v>30590.058890545115</v>
      </c>
      <c r="S147" s="393">
        <f t="shared" si="28"/>
        <v>22793.374632034629</v>
      </c>
      <c r="T147" s="418">
        <f t="shared" si="29"/>
        <v>0</v>
      </c>
      <c r="U147" s="422">
        <f t="shared" si="34"/>
        <v>67381.098963614437</v>
      </c>
    </row>
    <row r="148" spans="1:21" x14ac:dyDescent="0.25">
      <c r="A148" s="148">
        <f>Données!A148</f>
        <v>5646</v>
      </c>
      <c r="B148" s="149" t="str">
        <f>Données!B148</f>
        <v>Saint-Prex</v>
      </c>
      <c r="C148" s="392">
        <f>Données!C148</f>
        <v>5868</v>
      </c>
      <c r="D148" s="379">
        <f t="shared" si="30"/>
        <v>1000</v>
      </c>
      <c r="E148" s="379">
        <f t="shared" si="24"/>
        <v>2000</v>
      </c>
      <c r="F148" s="388">
        <f t="shared" si="24"/>
        <v>2000</v>
      </c>
      <c r="G148" s="378">
        <f t="shared" si="24"/>
        <v>868</v>
      </c>
      <c r="H148" s="379">
        <f t="shared" si="24"/>
        <v>0</v>
      </c>
      <c r="I148" s="388">
        <f t="shared" si="24"/>
        <v>0</v>
      </c>
      <c r="J148" s="388">
        <f t="shared" si="24"/>
        <v>0</v>
      </c>
      <c r="K148" s="389">
        <f t="shared" si="31"/>
        <v>0</v>
      </c>
      <c r="L148" s="394">
        <f t="shared" si="32"/>
        <v>18472</v>
      </c>
      <c r="M148" s="417">
        <f>Données!AE148</f>
        <v>1</v>
      </c>
      <c r="N148" s="394">
        <v>1</v>
      </c>
      <c r="O148" s="418">
        <f t="shared" si="25"/>
        <v>0</v>
      </c>
      <c r="P148" s="394">
        <f t="shared" si="33"/>
        <v>0</v>
      </c>
      <c r="Q148" s="419">
        <f t="shared" si="26"/>
        <v>180921.36741848369</v>
      </c>
      <c r="R148" s="394">
        <f t="shared" si="27"/>
        <v>0</v>
      </c>
      <c r="S148" s="393">
        <f t="shared" si="28"/>
        <v>0</v>
      </c>
      <c r="T148" s="418">
        <f t="shared" si="29"/>
        <v>0</v>
      </c>
      <c r="U148" s="422">
        <f t="shared" si="34"/>
        <v>180921.36741848369</v>
      </c>
    </row>
    <row r="149" spans="1:21" x14ac:dyDescent="0.25">
      <c r="A149" s="148">
        <f>Données!A149</f>
        <v>5648</v>
      </c>
      <c r="B149" s="149" t="str">
        <f>Données!B149</f>
        <v>Saint-Sulpice</v>
      </c>
      <c r="C149" s="392">
        <f>Données!C149</f>
        <v>5157</v>
      </c>
      <c r="D149" s="379">
        <f t="shared" si="30"/>
        <v>1000</v>
      </c>
      <c r="E149" s="379">
        <f t="shared" si="24"/>
        <v>2000</v>
      </c>
      <c r="F149" s="388">
        <f t="shared" si="24"/>
        <v>2000</v>
      </c>
      <c r="G149" s="378">
        <f t="shared" si="24"/>
        <v>157</v>
      </c>
      <c r="H149" s="379">
        <f t="shared" si="24"/>
        <v>0</v>
      </c>
      <c r="I149" s="388">
        <f t="shared" si="24"/>
        <v>0</v>
      </c>
      <c r="J149" s="388">
        <f t="shared" si="24"/>
        <v>0</v>
      </c>
      <c r="K149" s="389">
        <f t="shared" si="31"/>
        <v>0</v>
      </c>
      <c r="L149" s="394">
        <f t="shared" si="32"/>
        <v>15628</v>
      </c>
      <c r="M149" s="417">
        <f>Données!AE149</f>
        <v>1</v>
      </c>
      <c r="N149" s="394">
        <v>1</v>
      </c>
      <c r="O149" s="418">
        <f t="shared" si="25"/>
        <v>0</v>
      </c>
      <c r="P149" s="394">
        <f t="shared" si="33"/>
        <v>0</v>
      </c>
      <c r="Q149" s="419">
        <f t="shared" si="26"/>
        <v>158999.91339078397</v>
      </c>
      <c r="R149" s="394">
        <f t="shared" si="27"/>
        <v>0</v>
      </c>
      <c r="S149" s="393">
        <f t="shared" si="28"/>
        <v>0</v>
      </c>
      <c r="T149" s="418">
        <f t="shared" si="29"/>
        <v>0</v>
      </c>
      <c r="U149" s="422">
        <f t="shared" si="34"/>
        <v>158999.91339078397</v>
      </c>
    </row>
    <row r="150" spans="1:21" x14ac:dyDescent="0.25">
      <c r="A150" s="148">
        <f>Données!A150</f>
        <v>5649</v>
      </c>
      <c r="B150" s="149" t="str">
        <f>Données!B150</f>
        <v>Tolochenaz</v>
      </c>
      <c r="C150" s="392">
        <f>Données!C150</f>
        <v>1934</v>
      </c>
      <c r="D150" s="379">
        <f t="shared" si="30"/>
        <v>1000</v>
      </c>
      <c r="E150" s="379">
        <f t="shared" si="24"/>
        <v>934</v>
      </c>
      <c r="F150" s="388">
        <f t="shared" si="24"/>
        <v>0</v>
      </c>
      <c r="G150" s="378">
        <f t="shared" si="24"/>
        <v>0</v>
      </c>
      <c r="H150" s="379">
        <f t="shared" si="24"/>
        <v>0</v>
      </c>
      <c r="I150" s="388">
        <f t="shared" si="24"/>
        <v>0</v>
      </c>
      <c r="J150" s="388">
        <f t="shared" si="24"/>
        <v>0</v>
      </c>
      <c r="K150" s="389">
        <f t="shared" si="31"/>
        <v>0</v>
      </c>
      <c r="L150" s="394">
        <f t="shared" si="32"/>
        <v>4802</v>
      </c>
      <c r="M150" s="417">
        <f>Données!AE150</f>
        <v>1</v>
      </c>
      <c r="N150" s="394">
        <v>1</v>
      </c>
      <c r="O150" s="418">
        <f t="shared" si="25"/>
        <v>0</v>
      </c>
      <c r="P150" s="394">
        <f t="shared" si="33"/>
        <v>0</v>
      </c>
      <c r="Q150" s="419">
        <f t="shared" si="26"/>
        <v>59628.821504319611</v>
      </c>
      <c r="R150" s="394">
        <f t="shared" si="27"/>
        <v>0</v>
      </c>
      <c r="S150" s="393">
        <f t="shared" si="28"/>
        <v>0</v>
      </c>
      <c r="T150" s="418">
        <f t="shared" si="29"/>
        <v>0</v>
      </c>
      <c r="U150" s="422">
        <f t="shared" si="34"/>
        <v>59628.821504319611</v>
      </c>
    </row>
    <row r="151" spans="1:21" x14ac:dyDescent="0.25">
      <c r="A151" s="148">
        <f>Données!A151</f>
        <v>5650</v>
      </c>
      <c r="B151" s="149" t="str">
        <f>Données!B151</f>
        <v>Vaux-sur-Morges</v>
      </c>
      <c r="C151" s="392">
        <f>Données!C151</f>
        <v>185</v>
      </c>
      <c r="D151" s="379">
        <f t="shared" si="30"/>
        <v>185</v>
      </c>
      <c r="E151" s="379">
        <f t="shared" si="24"/>
        <v>0</v>
      </c>
      <c r="F151" s="388">
        <f t="shared" si="24"/>
        <v>0</v>
      </c>
      <c r="G151" s="378">
        <f t="shared" si="24"/>
        <v>0</v>
      </c>
      <c r="H151" s="379">
        <f t="shared" ref="E151:J193" si="35">IF($C151&lt;H$4,0,IF($C151&gt;H$5,H$5-H$4,$C151-H$4))</f>
        <v>0</v>
      </c>
      <c r="I151" s="388">
        <f t="shared" si="35"/>
        <v>0</v>
      </c>
      <c r="J151" s="388">
        <f t="shared" si="35"/>
        <v>0</v>
      </c>
      <c r="K151" s="389">
        <f t="shared" si="31"/>
        <v>0</v>
      </c>
      <c r="L151" s="394">
        <f t="shared" si="32"/>
        <v>370</v>
      </c>
      <c r="M151" s="417">
        <f>Données!AE151</f>
        <v>0</v>
      </c>
      <c r="N151" s="394">
        <v>0</v>
      </c>
      <c r="O151" s="418">
        <f t="shared" si="25"/>
        <v>185</v>
      </c>
      <c r="P151" s="394">
        <f t="shared" si="33"/>
        <v>370</v>
      </c>
      <c r="Q151" s="419">
        <f t="shared" si="26"/>
        <v>5703.8945079106143</v>
      </c>
      <c r="R151" s="394">
        <f t="shared" si="27"/>
        <v>12465.112102975432</v>
      </c>
      <c r="S151" s="393">
        <f t="shared" si="28"/>
        <v>9288.0491341991328</v>
      </c>
      <c r="T151" s="418">
        <f t="shared" si="29"/>
        <v>0</v>
      </c>
      <c r="U151" s="422">
        <f t="shared" si="34"/>
        <v>27457.055745085181</v>
      </c>
    </row>
    <row r="152" spans="1:21" x14ac:dyDescent="0.25">
      <c r="A152" s="148">
        <f>Données!A152</f>
        <v>5651</v>
      </c>
      <c r="B152" s="149" t="str">
        <f>Données!B152</f>
        <v>Villars-Sainte-Croix</v>
      </c>
      <c r="C152" s="392">
        <f>Données!C152</f>
        <v>955</v>
      </c>
      <c r="D152" s="379">
        <f t="shared" si="30"/>
        <v>955</v>
      </c>
      <c r="E152" s="379">
        <f t="shared" si="35"/>
        <v>0</v>
      </c>
      <c r="F152" s="388">
        <f t="shared" si="35"/>
        <v>0</v>
      </c>
      <c r="G152" s="378">
        <f t="shared" si="35"/>
        <v>0</v>
      </c>
      <c r="H152" s="379">
        <f t="shared" si="35"/>
        <v>0</v>
      </c>
      <c r="I152" s="388">
        <f t="shared" si="35"/>
        <v>0</v>
      </c>
      <c r="J152" s="388">
        <f t="shared" si="35"/>
        <v>0</v>
      </c>
      <c r="K152" s="389">
        <f t="shared" si="31"/>
        <v>0</v>
      </c>
      <c r="L152" s="394">
        <f t="shared" si="32"/>
        <v>1910</v>
      </c>
      <c r="M152" s="417">
        <f>Données!AE152</f>
        <v>1</v>
      </c>
      <c r="N152" s="394">
        <v>1</v>
      </c>
      <c r="O152" s="418">
        <f t="shared" si="25"/>
        <v>0</v>
      </c>
      <c r="P152" s="394">
        <f t="shared" si="33"/>
        <v>0</v>
      </c>
      <c r="Q152" s="419">
        <f t="shared" si="26"/>
        <v>29444.428405700739</v>
      </c>
      <c r="R152" s="394">
        <f t="shared" si="27"/>
        <v>0</v>
      </c>
      <c r="S152" s="393">
        <f t="shared" si="28"/>
        <v>0</v>
      </c>
      <c r="T152" s="418">
        <f t="shared" si="29"/>
        <v>0</v>
      </c>
      <c r="U152" s="422">
        <f t="shared" si="34"/>
        <v>29444.428405700739</v>
      </c>
    </row>
    <row r="153" spans="1:21" x14ac:dyDescent="0.25">
      <c r="A153" s="148">
        <f>Données!A153</f>
        <v>5652</v>
      </c>
      <c r="B153" s="149" t="str">
        <f>Données!B153</f>
        <v>Villars-sous-Yens</v>
      </c>
      <c r="C153" s="392">
        <f>Données!C153</f>
        <v>602</v>
      </c>
      <c r="D153" s="379">
        <f t="shared" si="30"/>
        <v>602</v>
      </c>
      <c r="E153" s="379">
        <f t="shared" si="35"/>
        <v>0</v>
      </c>
      <c r="F153" s="388">
        <f t="shared" si="35"/>
        <v>0</v>
      </c>
      <c r="G153" s="378">
        <f t="shared" si="35"/>
        <v>0</v>
      </c>
      <c r="H153" s="379">
        <f t="shared" si="35"/>
        <v>0</v>
      </c>
      <c r="I153" s="388">
        <f t="shared" si="35"/>
        <v>0</v>
      </c>
      <c r="J153" s="388">
        <f t="shared" si="35"/>
        <v>0</v>
      </c>
      <c r="K153" s="389">
        <f t="shared" si="31"/>
        <v>0</v>
      </c>
      <c r="L153" s="394">
        <f t="shared" si="32"/>
        <v>1204</v>
      </c>
      <c r="M153" s="417">
        <f>Données!AE153</f>
        <v>0</v>
      </c>
      <c r="N153" s="394">
        <v>0</v>
      </c>
      <c r="O153" s="418">
        <f t="shared" si="25"/>
        <v>602</v>
      </c>
      <c r="P153" s="394">
        <f t="shared" si="33"/>
        <v>1204</v>
      </c>
      <c r="Q153" s="419">
        <f t="shared" si="26"/>
        <v>18560.781047363187</v>
      </c>
      <c r="R153" s="394">
        <f t="shared" si="27"/>
        <v>40562.148572925456</v>
      </c>
      <c r="S153" s="393">
        <f t="shared" si="28"/>
        <v>30223.813939393938</v>
      </c>
      <c r="T153" s="418">
        <f t="shared" si="29"/>
        <v>0</v>
      </c>
      <c r="U153" s="422">
        <f t="shared" si="34"/>
        <v>89346.743559682582</v>
      </c>
    </row>
    <row r="154" spans="1:21" x14ac:dyDescent="0.25">
      <c r="A154" s="148">
        <f>Données!A154</f>
        <v>5653</v>
      </c>
      <c r="B154" s="149" t="str">
        <f>Données!B154</f>
        <v>Vufflens-le-Château</v>
      </c>
      <c r="C154" s="392">
        <f>Données!C154</f>
        <v>838</v>
      </c>
      <c r="D154" s="379">
        <f t="shared" si="30"/>
        <v>838</v>
      </c>
      <c r="E154" s="379">
        <f t="shared" si="35"/>
        <v>0</v>
      </c>
      <c r="F154" s="388">
        <f t="shared" si="35"/>
        <v>0</v>
      </c>
      <c r="G154" s="378">
        <f t="shared" si="35"/>
        <v>0</v>
      </c>
      <c r="H154" s="379">
        <f t="shared" si="35"/>
        <v>0</v>
      </c>
      <c r="I154" s="388">
        <f t="shared" si="35"/>
        <v>0</v>
      </c>
      <c r="J154" s="388">
        <f t="shared" si="35"/>
        <v>0</v>
      </c>
      <c r="K154" s="389">
        <f t="shared" si="31"/>
        <v>0</v>
      </c>
      <c r="L154" s="394">
        <f t="shared" si="32"/>
        <v>1676</v>
      </c>
      <c r="M154" s="417">
        <f>Données!AE154</f>
        <v>0</v>
      </c>
      <c r="N154" s="394">
        <v>0</v>
      </c>
      <c r="O154" s="418">
        <f t="shared" si="25"/>
        <v>838</v>
      </c>
      <c r="P154" s="394">
        <f t="shared" si="33"/>
        <v>1676</v>
      </c>
      <c r="Q154" s="419">
        <f t="shared" si="26"/>
        <v>25837.100527724837</v>
      </c>
      <c r="R154" s="394">
        <f t="shared" si="27"/>
        <v>56463.588877261689</v>
      </c>
      <c r="S154" s="393">
        <f t="shared" si="28"/>
        <v>42072.352294372293</v>
      </c>
      <c r="T154" s="418">
        <f t="shared" si="29"/>
        <v>0</v>
      </c>
      <c r="U154" s="422">
        <f t="shared" si="34"/>
        <v>124373.04169935882</v>
      </c>
    </row>
    <row r="155" spans="1:21" x14ac:dyDescent="0.25">
      <c r="A155" s="148">
        <f>Données!A155</f>
        <v>5654</v>
      </c>
      <c r="B155" s="149" t="str">
        <f>Données!B155</f>
        <v>Vullierens</v>
      </c>
      <c r="C155" s="392">
        <f>Données!C155</f>
        <v>548</v>
      </c>
      <c r="D155" s="379">
        <f t="shared" si="30"/>
        <v>548</v>
      </c>
      <c r="E155" s="379">
        <f t="shared" si="35"/>
        <v>0</v>
      </c>
      <c r="F155" s="388">
        <f t="shared" si="35"/>
        <v>0</v>
      </c>
      <c r="G155" s="378">
        <f t="shared" si="35"/>
        <v>0</v>
      </c>
      <c r="H155" s="379">
        <f t="shared" si="35"/>
        <v>0</v>
      </c>
      <c r="I155" s="388">
        <f t="shared" si="35"/>
        <v>0</v>
      </c>
      <c r="J155" s="388">
        <f t="shared" si="35"/>
        <v>0</v>
      </c>
      <c r="K155" s="389">
        <f t="shared" si="31"/>
        <v>0</v>
      </c>
      <c r="L155" s="394">
        <f t="shared" si="32"/>
        <v>1096</v>
      </c>
      <c r="M155" s="417">
        <f>Données!AE155</f>
        <v>0</v>
      </c>
      <c r="N155" s="394">
        <v>0</v>
      </c>
      <c r="O155" s="418">
        <f t="shared" si="25"/>
        <v>548</v>
      </c>
      <c r="P155" s="394">
        <f t="shared" si="33"/>
        <v>1096</v>
      </c>
      <c r="Q155" s="419">
        <f t="shared" si="26"/>
        <v>16895.860488297385</v>
      </c>
      <c r="R155" s="394">
        <f t="shared" si="27"/>
        <v>36923.683418543442</v>
      </c>
      <c r="S155" s="393">
        <f t="shared" si="28"/>
        <v>27512.707705627705</v>
      </c>
      <c r="T155" s="418">
        <f t="shared" si="29"/>
        <v>0</v>
      </c>
      <c r="U155" s="422">
        <f t="shared" si="34"/>
        <v>81332.251612468535</v>
      </c>
    </row>
    <row r="156" spans="1:21" x14ac:dyDescent="0.25">
      <c r="A156" s="148">
        <f>Données!A156</f>
        <v>5655</v>
      </c>
      <c r="B156" s="149" t="str">
        <f>Données!B156</f>
        <v>Yens</v>
      </c>
      <c r="C156" s="392">
        <f>Données!C156</f>
        <v>1502</v>
      </c>
      <c r="D156" s="379">
        <f t="shared" si="30"/>
        <v>1000</v>
      </c>
      <c r="E156" s="379">
        <f t="shared" si="35"/>
        <v>502</v>
      </c>
      <c r="F156" s="388">
        <f t="shared" si="35"/>
        <v>0</v>
      </c>
      <c r="G156" s="378">
        <f t="shared" si="35"/>
        <v>0</v>
      </c>
      <c r="H156" s="379">
        <f t="shared" si="35"/>
        <v>0</v>
      </c>
      <c r="I156" s="388">
        <f t="shared" si="35"/>
        <v>0</v>
      </c>
      <c r="J156" s="388">
        <f t="shared" si="35"/>
        <v>0</v>
      </c>
      <c r="K156" s="389">
        <f t="shared" si="31"/>
        <v>0</v>
      </c>
      <c r="L156" s="394">
        <f t="shared" si="32"/>
        <v>3506</v>
      </c>
      <c r="M156" s="417">
        <f>Données!AE156</f>
        <v>0</v>
      </c>
      <c r="N156" s="394">
        <v>0</v>
      </c>
      <c r="O156" s="418">
        <f t="shared" si="25"/>
        <v>1502</v>
      </c>
      <c r="P156" s="394">
        <f t="shared" si="33"/>
        <v>3506</v>
      </c>
      <c r="Q156" s="419">
        <f t="shared" si="26"/>
        <v>46309.457031793201</v>
      </c>
      <c r="R156" s="394">
        <f t="shared" si="27"/>
        <v>101203.23447929243</v>
      </c>
      <c r="S156" s="393">
        <f t="shared" si="28"/>
        <v>88010.541255411255</v>
      </c>
      <c r="T156" s="418">
        <f t="shared" si="29"/>
        <v>0</v>
      </c>
      <c r="U156" s="422">
        <f t="shared" si="34"/>
        <v>235523.23276649689</v>
      </c>
    </row>
    <row r="157" spans="1:21" x14ac:dyDescent="0.25">
      <c r="A157" s="148">
        <f>Données!A157</f>
        <v>5656</v>
      </c>
      <c r="B157" s="149" t="str">
        <f>Données!B157</f>
        <v>Hautemorges</v>
      </c>
      <c r="C157" s="392">
        <f>Données!C157</f>
        <v>4387</v>
      </c>
      <c r="D157" s="379">
        <f t="shared" si="30"/>
        <v>1000</v>
      </c>
      <c r="E157" s="379">
        <f t="shared" si="35"/>
        <v>2000</v>
      </c>
      <c r="F157" s="388">
        <f t="shared" si="35"/>
        <v>1387</v>
      </c>
      <c r="G157" s="378">
        <f t="shared" si="35"/>
        <v>0</v>
      </c>
      <c r="H157" s="379">
        <f t="shared" si="35"/>
        <v>0</v>
      </c>
      <c r="I157" s="388">
        <f t="shared" si="35"/>
        <v>0</v>
      </c>
      <c r="J157" s="388">
        <f t="shared" si="35"/>
        <v>0</v>
      </c>
      <c r="K157" s="389">
        <f t="shared" si="31"/>
        <v>0</v>
      </c>
      <c r="L157" s="394">
        <f t="shared" si="32"/>
        <v>12854.5</v>
      </c>
      <c r="M157" s="417">
        <f>Données!AE157</f>
        <v>0</v>
      </c>
      <c r="N157" s="394">
        <v>0</v>
      </c>
      <c r="O157" s="418">
        <f t="shared" si="25"/>
        <v>4387</v>
      </c>
      <c r="P157" s="394">
        <f t="shared" si="33"/>
        <v>12854.5</v>
      </c>
      <c r="Q157" s="419">
        <f t="shared" si="26"/>
        <v>135259.37949299387</v>
      </c>
      <c r="R157" s="394">
        <f t="shared" si="27"/>
        <v>295591.60430136876</v>
      </c>
      <c r="S157" s="393">
        <f t="shared" si="28"/>
        <v>322684.39890692639</v>
      </c>
      <c r="T157" s="418">
        <f t="shared" si="29"/>
        <v>0</v>
      </c>
      <c r="U157" s="422">
        <f t="shared" si="34"/>
        <v>753535.38270128903</v>
      </c>
    </row>
    <row r="158" spans="1:21" x14ac:dyDescent="0.25">
      <c r="A158" s="148">
        <f>Données!A158</f>
        <v>5661</v>
      </c>
      <c r="B158" s="149" t="str">
        <f>Données!B158</f>
        <v>Boulens</v>
      </c>
      <c r="C158" s="392">
        <f>Données!C158</f>
        <v>368</v>
      </c>
      <c r="D158" s="379">
        <f t="shared" si="30"/>
        <v>368</v>
      </c>
      <c r="E158" s="379">
        <f t="shared" si="35"/>
        <v>0</v>
      </c>
      <c r="F158" s="388">
        <f t="shared" si="35"/>
        <v>0</v>
      </c>
      <c r="G158" s="378">
        <f t="shared" si="35"/>
        <v>0</v>
      </c>
      <c r="H158" s="379">
        <f t="shared" si="35"/>
        <v>0</v>
      </c>
      <c r="I158" s="388">
        <f t="shared" si="35"/>
        <v>0</v>
      </c>
      <c r="J158" s="388">
        <f t="shared" si="35"/>
        <v>0</v>
      </c>
      <c r="K158" s="389">
        <f t="shared" si="31"/>
        <v>0</v>
      </c>
      <c r="L158" s="394">
        <f t="shared" si="32"/>
        <v>736</v>
      </c>
      <c r="M158" s="417">
        <f>Données!AE158</f>
        <v>0</v>
      </c>
      <c r="N158" s="394">
        <v>0</v>
      </c>
      <c r="O158" s="418">
        <f t="shared" si="25"/>
        <v>368</v>
      </c>
      <c r="P158" s="394">
        <f t="shared" si="33"/>
        <v>736</v>
      </c>
      <c r="Q158" s="419">
        <f t="shared" si="26"/>
        <v>11346.125291411383</v>
      </c>
      <c r="R158" s="394">
        <f t="shared" si="27"/>
        <v>24795.466237270048</v>
      </c>
      <c r="S158" s="393">
        <f t="shared" si="28"/>
        <v>18475.686926406925</v>
      </c>
      <c r="T158" s="418">
        <f t="shared" si="29"/>
        <v>0</v>
      </c>
      <c r="U158" s="422">
        <f t="shared" si="34"/>
        <v>54617.278455088352</v>
      </c>
    </row>
    <row r="159" spans="1:21" x14ac:dyDescent="0.25">
      <c r="A159" s="148">
        <f>Données!A159</f>
        <v>5663</v>
      </c>
      <c r="B159" s="149" t="str">
        <f>Données!B159</f>
        <v>Bussy-sur-Moudon</v>
      </c>
      <c r="C159" s="392">
        <f>Données!C159</f>
        <v>262</v>
      </c>
      <c r="D159" s="379">
        <f t="shared" si="30"/>
        <v>262</v>
      </c>
      <c r="E159" s="379">
        <f t="shared" si="35"/>
        <v>0</v>
      </c>
      <c r="F159" s="388">
        <f t="shared" si="35"/>
        <v>0</v>
      </c>
      <c r="G159" s="378">
        <f t="shared" si="35"/>
        <v>0</v>
      </c>
      <c r="H159" s="379">
        <f t="shared" si="35"/>
        <v>0</v>
      </c>
      <c r="I159" s="388">
        <f t="shared" si="35"/>
        <v>0</v>
      </c>
      <c r="J159" s="388">
        <f t="shared" si="35"/>
        <v>0</v>
      </c>
      <c r="K159" s="389">
        <f t="shared" si="31"/>
        <v>0</v>
      </c>
      <c r="L159" s="394">
        <f t="shared" si="32"/>
        <v>524</v>
      </c>
      <c r="M159" s="417">
        <f>Données!AE159</f>
        <v>0</v>
      </c>
      <c r="N159" s="394">
        <v>0</v>
      </c>
      <c r="O159" s="418">
        <f t="shared" si="25"/>
        <v>262</v>
      </c>
      <c r="P159" s="394">
        <f t="shared" si="33"/>
        <v>524</v>
      </c>
      <c r="Q159" s="419">
        <f t="shared" si="26"/>
        <v>8077.9478976896262</v>
      </c>
      <c r="R159" s="394">
        <f t="shared" si="27"/>
        <v>17653.293897186828</v>
      </c>
      <c r="S159" s="393">
        <f t="shared" si="28"/>
        <v>13153.885800865801</v>
      </c>
      <c r="T159" s="418">
        <f t="shared" si="29"/>
        <v>0</v>
      </c>
      <c r="U159" s="422">
        <f t="shared" si="34"/>
        <v>38885.127595742255</v>
      </c>
    </row>
    <row r="160" spans="1:21" x14ac:dyDescent="0.25">
      <c r="A160" s="148">
        <f>Données!A160</f>
        <v>5665</v>
      </c>
      <c r="B160" s="149" t="str">
        <f>Données!B160</f>
        <v>Chavannes-sur-Moudon</v>
      </c>
      <c r="C160" s="392">
        <f>Données!C160</f>
        <v>229</v>
      </c>
      <c r="D160" s="379">
        <f t="shared" si="30"/>
        <v>229</v>
      </c>
      <c r="E160" s="379">
        <f t="shared" si="35"/>
        <v>0</v>
      </c>
      <c r="F160" s="388">
        <f t="shared" si="35"/>
        <v>0</v>
      </c>
      <c r="G160" s="378">
        <f t="shared" si="35"/>
        <v>0</v>
      </c>
      <c r="H160" s="379">
        <f t="shared" si="35"/>
        <v>0</v>
      </c>
      <c r="I160" s="388">
        <f t="shared" si="35"/>
        <v>0</v>
      </c>
      <c r="J160" s="388">
        <f t="shared" si="35"/>
        <v>0</v>
      </c>
      <c r="K160" s="389">
        <f t="shared" si="31"/>
        <v>0</v>
      </c>
      <c r="L160" s="394">
        <f t="shared" si="32"/>
        <v>458</v>
      </c>
      <c r="M160" s="417">
        <f>Données!AE160</f>
        <v>0</v>
      </c>
      <c r="N160" s="394">
        <v>0</v>
      </c>
      <c r="O160" s="418">
        <f t="shared" si="25"/>
        <v>229</v>
      </c>
      <c r="P160" s="394">
        <f t="shared" si="33"/>
        <v>458</v>
      </c>
      <c r="Q160" s="419">
        <f t="shared" si="26"/>
        <v>7060.4964449271929</v>
      </c>
      <c r="R160" s="394">
        <f t="shared" si="27"/>
        <v>15429.787413953372</v>
      </c>
      <c r="S160" s="393">
        <f t="shared" si="28"/>
        <v>11497.098658008657</v>
      </c>
      <c r="T160" s="418">
        <f t="shared" si="29"/>
        <v>0</v>
      </c>
      <c r="U160" s="422">
        <f t="shared" si="34"/>
        <v>33987.382516889222</v>
      </c>
    </row>
    <row r="161" spans="1:21" x14ac:dyDescent="0.25">
      <c r="A161" s="148">
        <f>Données!A161</f>
        <v>5669</v>
      </c>
      <c r="B161" s="149" t="str">
        <f>Données!B161</f>
        <v>Curtilles</v>
      </c>
      <c r="C161" s="392">
        <f>Données!C161</f>
        <v>308</v>
      </c>
      <c r="D161" s="379">
        <f t="shared" si="30"/>
        <v>308</v>
      </c>
      <c r="E161" s="379">
        <f t="shared" si="35"/>
        <v>0</v>
      </c>
      <c r="F161" s="388">
        <f t="shared" si="35"/>
        <v>0</v>
      </c>
      <c r="G161" s="378">
        <f t="shared" si="35"/>
        <v>0</v>
      </c>
      <c r="H161" s="379">
        <f t="shared" si="35"/>
        <v>0</v>
      </c>
      <c r="I161" s="388">
        <f t="shared" si="35"/>
        <v>0</v>
      </c>
      <c r="J161" s="388">
        <f t="shared" si="35"/>
        <v>0</v>
      </c>
      <c r="K161" s="389">
        <f t="shared" si="31"/>
        <v>0</v>
      </c>
      <c r="L161" s="394">
        <f t="shared" si="32"/>
        <v>616</v>
      </c>
      <c r="M161" s="417">
        <f>Données!AE161</f>
        <v>0</v>
      </c>
      <c r="N161" s="394">
        <v>0</v>
      </c>
      <c r="O161" s="418">
        <f t="shared" si="25"/>
        <v>308</v>
      </c>
      <c r="P161" s="394">
        <f t="shared" si="33"/>
        <v>616</v>
      </c>
      <c r="Q161" s="419">
        <f t="shared" si="26"/>
        <v>9496.2135591160495</v>
      </c>
      <c r="R161" s="394">
        <f t="shared" si="27"/>
        <v>20752.727176845583</v>
      </c>
      <c r="S161" s="393">
        <f t="shared" si="28"/>
        <v>15463.346666666666</v>
      </c>
      <c r="T161" s="418">
        <f t="shared" si="29"/>
        <v>0</v>
      </c>
      <c r="U161" s="422">
        <f t="shared" si="34"/>
        <v>45712.287402628295</v>
      </c>
    </row>
    <row r="162" spans="1:21" x14ac:dyDescent="0.25">
      <c r="A162" s="148">
        <f>Données!A162</f>
        <v>5671</v>
      </c>
      <c r="B162" s="149" t="str">
        <f>Données!B162</f>
        <v>Dompierre</v>
      </c>
      <c r="C162" s="392">
        <f>Données!C162</f>
        <v>240</v>
      </c>
      <c r="D162" s="379">
        <f t="shared" si="30"/>
        <v>240</v>
      </c>
      <c r="E162" s="379">
        <f t="shared" si="35"/>
        <v>0</v>
      </c>
      <c r="F162" s="388">
        <f t="shared" si="35"/>
        <v>0</v>
      </c>
      <c r="G162" s="378">
        <f t="shared" si="35"/>
        <v>0</v>
      </c>
      <c r="H162" s="379">
        <f t="shared" si="35"/>
        <v>0</v>
      </c>
      <c r="I162" s="388">
        <f t="shared" si="35"/>
        <v>0</v>
      </c>
      <c r="J162" s="388">
        <f t="shared" si="35"/>
        <v>0</v>
      </c>
      <c r="K162" s="389">
        <f t="shared" si="31"/>
        <v>0</v>
      </c>
      <c r="L162" s="394">
        <f t="shared" si="32"/>
        <v>480</v>
      </c>
      <c r="M162" s="417">
        <f>Données!AE162</f>
        <v>0</v>
      </c>
      <c r="N162" s="394">
        <v>0</v>
      </c>
      <c r="O162" s="418">
        <f t="shared" si="25"/>
        <v>240</v>
      </c>
      <c r="P162" s="394">
        <f t="shared" si="33"/>
        <v>480</v>
      </c>
      <c r="Q162" s="419">
        <f t="shared" si="26"/>
        <v>7399.6469291813373</v>
      </c>
      <c r="R162" s="394">
        <f t="shared" si="27"/>
        <v>16170.956241697857</v>
      </c>
      <c r="S162" s="393">
        <f t="shared" si="28"/>
        <v>12049.361038961039</v>
      </c>
      <c r="T162" s="418">
        <f t="shared" si="29"/>
        <v>0</v>
      </c>
      <c r="U162" s="422">
        <f t="shared" si="34"/>
        <v>35619.964209840233</v>
      </c>
    </row>
    <row r="163" spans="1:21" x14ac:dyDescent="0.25">
      <c r="A163" s="148">
        <f>Données!A163</f>
        <v>5673</v>
      </c>
      <c r="B163" s="149" t="str">
        <f>Données!B163</f>
        <v>Hermenches</v>
      </c>
      <c r="C163" s="392">
        <f>Données!C163</f>
        <v>373</v>
      </c>
      <c r="D163" s="379">
        <f t="shared" si="30"/>
        <v>373</v>
      </c>
      <c r="E163" s="379">
        <f t="shared" si="35"/>
        <v>0</v>
      </c>
      <c r="F163" s="388">
        <f t="shared" si="35"/>
        <v>0</v>
      </c>
      <c r="G163" s="378">
        <f t="shared" si="35"/>
        <v>0</v>
      </c>
      <c r="H163" s="379">
        <f t="shared" si="35"/>
        <v>0</v>
      </c>
      <c r="I163" s="388">
        <f t="shared" si="35"/>
        <v>0</v>
      </c>
      <c r="J163" s="388">
        <f t="shared" si="35"/>
        <v>0</v>
      </c>
      <c r="K163" s="389">
        <f t="shared" si="31"/>
        <v>0</v>
      </c>
      <c r="L163" s="394">
        <f t="shared" si="32"/>
        <v>746</v>
      </c>
      <c r="M163" s="417">
        <f>Données!AE163</f>
        <v>0</v>
      </c>
      <c r="N163" s="394">
        <v>0</v>
      </c>
      <c r="O163" s="418">
        <f t="shared" si="25"/>
        <v>373</v>
      </c>
      <c r="P163" s="394">
        <f t="shared" si="33"/>
        <v>746</v>
      </c>
      <c r="Q163" s="419">
        <f t="shared" si="26"/>
        <v>11500.284602435995</v>
      </c>
      <c r="R163" s="394">
        <f t="shared" si="27"/>
        <v>25132.361158972086</v>
      </c>
      <c r="S163" s="393">
        <f t="shared" si="28"/>
        <v>18726.715281385281</v>
      </c>
      <c r="T163" s="418">
        <f t="shared" si="29"/>
        <v>0</v>
      </c>
      <c r="U163" s="422">
        <f t="shared" si="34"/>
        <v>55359.36104279336</v>
      </c>
    </row>
    <row r="164" spans="1:21" x14ac:dyDescent="0.25">
      <c r="A164" s="148">
        <f>Données!A164</f>
        <v>5674</v>
      </c>
      <c r="B164" s="149" t="str">
        <f>Données!B164</f>
        <v>Lovatens</v>
      </c>
      <c r="C164" s="392">
        <f>Données!C164</f>
        <v>146</v>
      </c>
      <c r="D164" s="379">
        <f t="shared" si="30"/>
        <v>146</v>
      </c>
      <c r="E164" s="379">
        <f t="shared" si="35"/>
        <v>0</v>
      </c>
      <c r="F164" s="388">
        <f t="shared" si="35"/>
        <v>0</v>
      </c>
      <c r="G164" s="378">
        <f t="shared" si="35"/>
        <v>0</v>
      </c>
      <c r="H164" s="379">
        <f t="shared" si="35"/>
        <v>0</v>
      </c>
      <c r="I164" s="388">
        <f t="shared" si="35"/>
        <v>0</v>
      </c>
      <c r="J164" s="388">
        <f t="shared" si="35"/>
        <v>0</v>
      </c>
      <c r="K164" s="389">
        <f t="shared" si="31"/>
        <v>0</v>
      </c>
      <c r="L164" s="394">
        <f t="shared" si="32"/>
        <v>292</v>
      </c>
      <c r="M164" s="417">
        <f>Données!AE164</f>
        <v>0</v>
      </c>
      <c r="N164" s="394">
        <v>0</v>
      </c>
      <c r="O164" s="418">
        <f t="shared" si="25"/>
        <v>146</v>
      </c>
      <c r="P164" s="394">
        <f t="shared" si="33"/>
        <v>292</v>
      </c>
      <c r="Q164" s="419">
        <f t="shared" si="26"/>
        <v>4501.4518819186469</v>
      </c>
      <c r="R164" s="394">
        <f t="shared" si="27"/>
        <v>9837.3317136995302</v>
      </c>
      <c r="S164" s="393">
        <f t="shared" si="28"/>
        <v>7330.0279653679645</v>
      </c>
      <c r="T164" s="418">
        <f t="shared" si="29"/>
        <v>0</v>
      </c>
      <c r="U164" s="422">
        <f t="shared" si="34"/>
        <v>21668.811560986142</v>
      </c>
    </row>
    <row r="165" spans="1:21" x14ac:dyDescent="0.25">
      <c r="A165" s="148">
        <f>Données!A165</f>
        <v>5675</v>
      </c>
      <c r="B165" s="149" t="str">
        <f>Données!B165</f>
        <v>Lucens</v>
      </c>
      <c r="C165" s="392">
        <f>Données!C165</f>
        <v>4734</v>
      </c>
      <c r="D165" s="379">
        <f t="shared" si="30"/>
        <v>1000</v>
      </c>
      <c r="E165" s="379">
        <f t="shared" si="35"/>
        <v>2000</v>
      </c>
      <c r="F165" s="388">
        <f t="shared" si="35"/>
        <v>1734</v>
      </c>
      <c r="G165" s="378">
        <f t="shared" si="35"/>
        <v>0</v>
      </c>
      <c r="H165" s="379">
        <f t="shared" si="35"/>
        <v>0</v>
      </c>
      <c r="I165" s="388">
        <f t="shared" si="35"/>
        <v>0</v>
      </c>
      <c r="J165" s="388">
        <f t="shared" si="35"/>
        <v>0</v>
      </c>
      <c r="K165" s="389">
        <f t="shared" si="31"/>
        <v>0</v>
      </c>
      <c r="L165" s="394">
        <f t="shared" si="32"/>
        <v>14069</v>
      </c>
      <c r="M165" s="417">
        <f>Données!AE165</f>
        <v>0</v>
      </c>
      <c r="N165" s="394">
        <v>0</v>
      </c>
      <c r="O165" s="418">
        <f t="shared" si="25"/>
        <v>4734</v>
      </c>
      <c r="P165" s="394">
        <f t="shared" si="33"/>
        <v>14069</v>
      </c>
      <c r="Q165" s="419">
        <f t="shared" si="26"/>
        <v>145958.03567810188</v>
      </c>
      <c r="R165" s="394">
        <f t="shared" si="27"/>
        <v>318972.11186749022</v>
      </c>
      <c r="S165" s="393">
        <f t="shared" si="28"/>
        <v>353171.79261904757</v>
      </c>
      <c r="T165" s="418">
        <f t="shared" si="29"/>
        <v>0</v>
      </c>
      <c r="U165" s="422">
        <f t="shared" si="34"/>
        <v>818101.94016463961</v>
      </c>
    </row>
    <row r="166" spans="1:21" x14ac:dyDescent="0.25">
      <c r="A166" s="148">
        <f>Données!A166</f>
        <v>5678</v>
      </c>
      <c r="B166" s="149" t="str">
        <f>Données!B166</f>
        <v>Moudon</v>
      </c>
      <c r="C166" s="392">
        <f>Données!C166</f>
        <v>6651</v>
      </c>
      <c r="D166" s="379">
        <f t="shared" si="30"/>
        <v>1000</v>
      </c>
      <c r="E166" s="379">
        <f t="shared" si="35"/>
        <v>2000</v>
      </c>
      <c r="F166" s="388">
        <f t="shared" si="35"/>
        <v>2000</v>
      </c>
      <c r="G166" s="378">
        <f t="shared" si="35"/>
        <v>1651</v>
      </c>
      <c r="H166" s="379">
        <f t="shared" si="35"/>
        <v>0</v>
      </c>
      <c r="I166" s="388">
        <f t="shared" si="35"/>
        <v>0</v>
      </c>
      <c r="J166" s="388">
        <f t="shared" si="35"/>
        <v>0</v>
      </c>
      <c r="K166" s="389">
        <f t="shared" si="31"/>
        <v>0</v>
      </c>
      <c r="L166" s="394">
        <f t="shared" si="32"/>
        <v>21604</v>
      </c>
      <c r="M166" s="417">
        <f>Données!AE166</f>
        <v>0</v>
      </c>
      <c r="N166" s="394">
        <v>0</v>
      </c>
      <c r="O166" s="418">
        <f t="shared" si="25"/>
        <v>6651</v>
      </c>
      <c r="P166" s="394">
        <f t="shared" si="33"/>
        <v>21604</v>
      </c>
      <c r="Q166" s="419">
        <f t="shared" si="26"/>
        <v>205062.71552493781</v>
      </c>
      <c r="R166" s="394">
        <f t="shared" si="27"/>
        <v>448137.62484805187</v>
      </c>
      <c r="S166" s="393">
        <f t="shared" si="28"/>
        <v>542321.65809523803</v>
      </c>
      <c r="T166" s="418">
        <f t="shared" si="29"/>
        <v>0</v>
      </c>
      <c r="U166" s="422">
        <f t="shared" si="34"/>
        <v>1195521.9984682277</v>
      </c>
    </row>
    <row r="167" spans="1:21" x14ac:dyDescent="0.25">
      <c r="A167" s="148">
        <f>Données!A167</f>
        <v>5680</v>
      </c>
      <c r="B167" s="149" t="str">
        <f>Données!B167</f>
        <v>Ogens</v>
      </c>
      <c r="C167" s="392">
        <f>Données!C167</f>
        <v>341</v>
      </c>
      <c r="D167" s="379">
        <f t="shared" si="30"/>
        <v>341</v>
      </c>
      <c r="E167" s="379">
        <f t="shared" si="35"/>
        <v>0</v>
      </c>
      <c r="F167" s="388">
        <f t="shared" si="35"/>
        <v>0</v>
      </c>
      <c r="G167" s="378">
        <f t="shared" si="35"/>
        <v>0</v>
      </c>
      <c r="H167" s="379">
        <f t="shared" si="35"/>
        <v>0</v>
      </c>
      <c r="I167" s="388">
        <f t="shared" si="35"/>
        <v>0</v>
      </c>
      <c r="J167" s="388">
        <f t="shared" si="35"/>
        <v>0</v>
      </c>
      <c r="K167" s="389">
        <f t="shared" si="31"/>
        <v>0</v>
      </c>
      <c r="L167" s="394">
        <f t="shared" si="32"/>
        <v>682</v>
      </c>
      <c r="M167" s="417">
        <f>Données!AE167</f>
        <v>0</v>
      </c>
      <c r="N167" s="394">
        <v>0</v>
      </c>
      <c r="O167" s="418">
        <f t="shared" si="25"/>
        <v>341</v>
      </c>
      <c r="P167" s="394">
        <f t="shared" si="33"/>
        <v>682</v>
      </c>
      <c r="Q167" s="419">
        <f t="shared" si="26"/>
        <v>10513.665011878484</v>
      </c>
      <c r="R167" s="394">
        <f t="shared" si="27"/>
        <v>22976.23366007904</v>
      </c>
      <c r="S167" s="393">
        <f t="shared" si="28"/>
        <v>17120.13380952381</v>
      </c>
      <c r="T167" s="418">
        <f t="shared" si="29"/>
        <v>0</v>
      </c>
      <c r="U167" s="422">
        <f t="shared" si="34"/>
        <v>50610.032481481336</v>
      </c>
    </row>
    <row r="168" spans="1:21" x14ac:dyDescent="0.25">
      <c r="A168" s="148">
        <f>Données!A168</f>
        <v>5683</v>
      </c>
      <c r="B168" s="149" t="str">
        <f>Données!B168</f>
        <v>Prévonloup</v>
      </c>
      <c r="C168" s="392">
        <f>Données!C168</f>
        <v>231</v>
      </c>
      <c r="D168" s="379">
        <f t="shared" si="30"/>
        <v>231</v>
      </c>
      <c r="E168" s="379">
        <f t="shared" si="35"/>
        <v>0</v>
      </c>
      <c r="F168" s="388">
        <f t="shared" si="35"/>
        <v>0</v>
      </c>
      <c r="G168" s="378">
        <f t="shared" si="35"/>
        <v>0</v>
      </c>
      <c r="H168" s="379">
        <f t="shared" si="35"/>
        <v>0</v>
      </c>
      <c r="I168" s="388">
        <f t="shared" si="35"/>
        <v>0</v>
      </c>
      <c r="J168" s="388">
        <f t="shared" si="35"/>
        <v>0</v>
      </c>
      <c r="K168" s="389">
        <f t="shared" si="31"/>
        <v>0</v>
      </c>
      <c r="L168" s="394">
        <f t="shared" si="32"/>
        <v>462</v>
      </c>
      <c r="M168" s="417">
        <f>Données!AE168</f>
        <v>0</v>
      </c>
      <c r="N168" s="394">
        <v>0</v>
      </c>
      <c r="O168" s="418">
        <f t="shared" si="25"/>
        <v>231</v>
      </c>
      <c r="P168" s="394">
        <f t="shared" si="33"/>
        <v>462</v>
      </c>
      <c r="Q168" s="419">
        <f t="shared" si="26"/>
        <v>7122.1601693370367</v>
      </c>
      <c r="R168" s="394">
        <f t="shared" si="27"/>
        <v>15564.545382634187</v>
      </c>
      <c r="S168" s="393">
        <f t="shared" si="28"/>
        <v>11597.509999999998</v>
      </c>
      <c r="T168" s="418">
        <f t="shared" si="29"/>
        <v>0</v>
      </c>
      <c r="U168" s="422">
        <f t="shared" si="34"/>
        <v>34284.215551971225</v>
      </c>
    </row>
    <row r="169" spans="1:21" x14ac:dyDescent="0.25">
      <c r="A169" s="148">
        <f>Données!A169</f>
        <v>5684</v>
      </c>
      <c r="B169" s="149" t="str">
        <f>Données!B169</f>
        <v>Rossenges</v>
      </c>
      <c r="C169" s="392">
        <f>Données!C169</f>
        <v>90</v>
      </c>
      <c r="D169" s="379">
        <f t="shared" si="30"/>
        <v>90</v>
      </c>
      <c r="E169" s="379">
        <f t="shared" si="35"/>
        <v>0</v>
      </c>
      <c r="F169" s="388">
        <f t="shared" si="35"/>
        <v>0</v>
      </c>
      <c r="G169" s="378">
        <f t="shared" si="35"/>
        <v>0</v>
      </c>
      <c r="H169" s="379">
        <f t="shared" si="35"/>
        <v>0</v>
      </c>
      <c r="I169" s="388">
        <f t="shared" si="35"/>
        <v>0</v>
      </c>
      <c r="J169" s="388">
        <f t="shared" si="35"/>
        <v>0</v>
      </c>
      <c r="K169" s="389">
        <f t="shared" si="31"/>
        <v>0</v>
      </c>
      <c r="L169" s="394">
        <f t="shared" si="32"/>
        <v>180</v>
      </c>
      <c r="M169" s="417">
        <f>Données!AE169</f>
        <v>0</v>
      </c>
      <c r="N169" s="394">
        <v>0</v>
      </c>
      <c r="O169" s="418">
        <f t="shared" si="25"/>
        <v>90</v>
      </c>
      <c r="P169" s="394">
        <f t="shared" si="33"/>
        <v>180</v>
      </c>
      <c r="Q169" s="419">
        <f t="shared" si="26"/>
        <v>2774.8675984430015</v>
      </c>
      <c r="R169" s="394">
        <f t="shared" si="27"/>
        <v>6064.108590636697</v>
      </c>
      <c r="S169" s="393">
        <f t="shared" si="28"/>
        <v>4518.5103896103892</v>
      </c>
      <c r="T169" s="418">
        <f t="shared" si="29"/>
        <v>0</v>
      </c>
      <c r="U169" s="422">
        <f t="shared" si="34"/>
        <v>13357.486578690088</v>
      </c>
    </row>
    <row r="170" spans="1:21" x14ac:dyDescent="0.25">
      <c r="A170" s="148">
        <f>Données!A170</f>
        <v>5688</v>
      </c>
      <c r="B170" s="149" t="str">
        <f>Données!B170</f>
        <v>Syens</v>
      </c>
      <c r="C170" s="392">
        <f>Données!C170</f>
        <v>151</v>
      </c>
      <c r="D170" s="379">
        <f t="shared" si="30"/>
        <v>151</v>
      </c>
      <c r="E170" s="379">
        <f t="shared" si="35"/>
        <v>0</v>
      </c>
      <c r="F170" s="388">
        <f t="shared" si="35"/>
        <v>0</v>
      </c>
      <c r="G170" s="378">
        <f t="shared" si="35"/>
        <v>0</v>
      </c>
      <c r="H170" s="379">
        <f t="shared" si="35"/>
        <v>0</v>
      </c>
      <c r="I170" s="388">
        <f t="shared" si="35"/>
        <v>0</v>
      </c>
      <c r="J170" s="388">
        <f t="shared" si="35"/>
        <v>0</v>
      </c>
      <c r="K170" s="389">
        <f t="shared" si="31"/>
        <v>0</v>
      </c>
      <c r="L170" s="394">
        <f t="shared" si="32"/>
        <v>302</v>
      </c>
      <c r="M170" s="417">
        <f>Données!AE170</f>
        <v>0</v>
      </c>
      <c r="N170" s="394">
        <v>0</v>
      </c>
      <c r="O170" s="418">
        <f t="shared" si="25"/>
        <v>151</v>
      </c>
      <c r="P170" s="394">
        <f t="shared" si="33"/>
        <v>302</v>
      </c>
      <c r="Q170" s="419">
        <f t="shared" si="26"/>
        <v>4655.6111929432582</v>
      </c>
      <c r="R170" s="394">
        <f t="shared" si="27"/>
        <v>10174.226635401568</v>
      </c>
      <c r="S170" s="393">
        <f t="shared" si="28"/>
        <v>7581.0563203463198</v>
      </c>
      <c r="T170" s="418">
        <f t="shared" si="29"/>
        <v>0</v>
      </c>
      <c r="U170" s="422">
        <f t="shared" si="34"/>
        <v>22410.894148691146</v>
      </c>
    </row>
    <row r="171" spans="1:21" x14ac:dyDescent="0.25">
      <c r="A171" s="148">
        <f>Données!A171</f>
        <v>5690</v>
      </c>
      <c r="B171" s="149" t="str">
        <f>Données!B171</f>
        <v>Villars-le-Comte</v>
      </c>
      <c r="C171" s="392">
        <f>Données!C171</f>
        <v>132</v>
      </c>
      <c r="D171" s="379">
        <f t="shared" si="30"/>
        <v>132</v>
      </c>
      <c r="E171" s="379">
        <f t="shared" si="35"/>
        <v>0</v>
      </c>
      <c r="F171" s="388">
        <f t="shared" si="35"/>
        <v>0</v>
      </c>
      <c r="G171" s="378">
        <f t="shared" si="35"/>
        <v>0</v>
      </c>
      <c r="H171" s="379">
        <f t="shared" si="35"/>
        <v>0</v>
      </c>
      <c r="I171" s="388">
        <f t="shared" si="35"/>
        <v>0</v>
      </c>
      <c r="J171" s="388">
        <f t="shared" si="35"/>
        <v>0</v>
      </c>
      <c r="K171" s="389">
        <f t="shared" si="31"/>
        <v>0</v>
      </c>
      <c r="L171" s="394">
        <f t="shared" si="32"/>
        <v>264</v>
      </c>
      <c r="M171" s="417">
        <f>Données!AE171</f>
        <v>0</v>
      </c>
      <c r="N171" s="394">
        <v>0</v>
      </c>
      <c r="O171" s="418">
        <f t="shared" si="25"/>
        <v>132</v>
      </c>
      <c r="P171" s="394">
        <f t="shared" si="33"/>
        <v>264</v>
      </c>
      <c r="Q171" s="419">
        <f t="shared" si="26"/>
        <v>4069.8058110497354</v>
      </c>
      <c r="R171" s="394">
        <f t="shared" si="27"/>
        <v>8894.0259329338223</v>
      </c>
      <c r="S171" s="393">
        <f t="shared" si="28"/>
        <v>6627.1485714285709</v>
      </c>
      <c r="T171" s="418">
        <f t="shared" si="29"/>
        <v>0</v>
      </c>
      <c r="U171" s="422">
        <f t="shared" si="34"/>
        <v>19590.980315412129</v>
      </c>
    </row>
    <row r="172" spans="1:21" x14ac:dyDescent="0.25">
      <c r="A172" s="148">
        <f>Données!A172</f>
        <v>5692</v>
      </c>
      <c r="B172" s="149" t="str">
        <f>Données!B172</f>
        <v>Vucherens</v>
      </c>
      <c r="C172" s="392">
        <f>Données!C172</f>
        <v>622</v>
      </c>
      <c r="D172" s="379">
        <f t="shared" si="30"/>
        <v>622</v>
      </c>
      <c r="E172" s="379">
        <f t="shared" si="35"/>
        <v>0</v>
      </c>
      <c r="F172" s="388">
        <f t="shared" si="35"/>
        <v>0</v>
      </c>
      <c r="G172" s="378">
        <f t="shared" si="35"/>
        <v>0</v>
      </c>
      <c r="H172" s="379">
        <f t="shared" si="35"/>
        <v>0</v>
      </c>
      <c r="I172" s="388">
        <f t="shared" si="35"/>
        <v>0</v>
      </c>
      <c r="J172" s="388">
        <f t="shared" si="35"/>
        <v>0</v>
      </c>
      <c r="K172" s="389">
        <f t="shared" si="31"/>
        <v>0</v>
      </c>
      <c r="L172" s="394">
        <f t="shared" si="32"/>
        <v>1244</v>
      </c>
      <c r="M172" s="417">
        <f>Données!AE172</f>
        <v>0</v>
      </c>
      <c r="N172" s="394">
        <v>0</v>
      </c>
      <c r="O172" s="418">
        <f t="shared" si="25"/>
        <v>622</v>
      </c>
      <c r="P172" s="394">
        <f t="shared" si="33"/>
        <v>1244</v>
      </c>
      <c r="Q172" s="419">
        <f t="shared" si="26"/>
        <v>19177.418291461632</v>
      </c>
      <c r="R172" s="394">
        <f t="shared" si="27"/>
        <v>41909.728259733616</v>
      </c>
      <c r="S172" s="393">
        <f t="shared" si="28"/>
        <v>31227.927359307356</v>
      </c>
      <c r="T172" s="418">
        <f t="shared" si="29"/>
        <v>0</v>
      </c>
      <c r="U172" s="422">
        <f t="shared" si="34"/>
        <v>92315.0739105026</v>
      </c>
    </row>
    <row r="173" spans="1:21" x14ac:dyDescent="0.25">
      <c r="A173" s="148">
        <f>Données!A173</f>
        <v>5693</v>
      </c>
      <c r="B173" s="149" t="str">
        <f>Données!B173</f>
        <v>Montanaire</v>
      </c>
      <c r="C173" s="392">
        <f>Données!C173</f>
        <v>2861</v>
      </c>
      <c r="D173" s="379">
        <f t="shared" si="30"/>
        <v>1000</v>
      </c>
      <c r="E173" s="379">
        <f t="shared" si="35"/>
        <v>1861</v>
      </c>
      <c r="F173" s="388">
        <f t="shared" si="35"/>
        <v>0</v>
      </c>
      <c r="G173" s="378">
        <f t="shared" si="35"/>
        <v>0</v>
      </c>
      <c r="H173" s="379">
        <f t="shared" si="35"/>
        <v>0</v>
      </c>
      <c r="I173" s="388">
        <f t="shared" si="35"/>
        <v>0</v>
      </c>
      <c r="J173" s="388">
        <f t="shared" si="35"/>
        <v>0</v>
      </c>
      <c r="K173" s="389">
        <f t="shared" si="31"/>
        <v>0</v>
      </c>
      <c r="L173" s="394">
        <f t="shared" si="32"/>
        <v>7583</v>
      </c>
      <c r="M173" s="417">
        <f>Données!AE173</f>
        <v>0</v>
      </c>
      <c r="N173" s="394">
        <v>0</v>
      </c>
      <c r="O173" s="418">
        <f t="shared" si="25"/>
        <v>2861</v>
      </c>
      <c r="P173" s="394">
        <f t="shared" si="33"/>
        <v>7583</v>
      </c>
      <c r="Q173" s="419">
        <f t="shared" si="26"/>
        <v>88209.957768282518</v>
      </c>
      <c r="R173" s="394">
        <f t="shared" si="27"/>
        <v>192771.27419790655</v>
      </c>
      <c r="S173" s="393">
        <f t="shared" si="28"/>
        <v>190354.80158008655</v>
      </c>
      <c r="T173" s="418">
        <f t="shared" si="29"/>
        <v>0</v>
      </c>
      <c r="U173" s="422">
        <f t="shared" si="34"/>
        <v>471336.03354627558</v>
      </c>
    </row>
    <row r="174" spans="1:21" x14ac:dyDescent="0.25">
      <c r="A174" s="148">
        <f>Données!A174</f>
        <v>5701</v>
      </c>
      <c r="B174" s="149" t="str">
        <f>Données!B174</f>
        <v>Arnex-sur-Nyon</v>
      </c>
      <c r="C174" s="392">
        <f>Données!C174</f>
        <v>267</v>
      </c>
      <c r="D174" s="379">
        <f t="shared" si="30"/>
        <v>267</v>
      </c>
      <c r="E174" s="379">
        <f t="shared" si="35"/>
        <v>0</v>
      </c>
      <c r="F174" s="388">
        <f t="shared" si="35"/>
        <v>0</v>
      </c>
      <c r="G174" s="378">
        <f t="shared" si="35"/>
        <v>0</v>
      </c>
      <c r="H174" s="379">
        <f t="shared" si="35"/>
        <v>0</v>
      </c>
      <c r="I174" s="388">
        <f t="shared" si="35"/>
        <v>0</v>
      </c>
      <c r="J174" s="388">
        <f t="shared" si="35"/>
        <v>0</v>
      </c>
      <c r="K174" s="389">
        <f t="shared" si="31"/>
        <v>0</v>
      </c>
      <c r="L174" s="394">
        <f t="shared" si="32"/>
        <v>534</v>
      </c>
      <c r="M174" s="417">
        <f>Données!AE174</f>
        <v>0</v>
      </c>
      <c r="N174" s="394">
        <v>0</v>
      </c>
      <c r="O174" s="418">
        <f t="shared" si="25"/>
        <v>267</v>
      </c>
      <c r="P174" s="394">
        <f t="shared" si="33"/>
        <v>534</v>
      </c>
      <c r="Q174" s="419">
        <f t="shared" si="26"/>
        <v>8232.1072087142384</v>
      </c>
      <c r="R174" s="394">
        <f t="shared" si="27"/>
        <v>17990.188818888866</v>
      </c>
      <c r="S174" s="393">
        <f t="shared" si="28"/>
        <v>13404.914155844155</v>
      </c>
      <c r="T174" s="418">
        <f t="shared" si="29"/>
        <v>0</v>
      </c>
      <c r="U174" s="422">
        <f t="shared" si="34"/>
        <v>39627.210183447256</v>
      </c>
    </row>
    <row r="175" spans="1:21" x14ac:dyDescent="0.25">
      <c r="A175" s="148">
        <f>Données!A175</f>
        <v>5702</v>
      </c>
      <c r="B175" s="149" t="str">
        <f>Données!B175</f>
        <v>Arzier-Le Muids</v>
      </c>
      <c r="C175" s="392">
        <f>Données!C175</f>
        <v>2968</v>
      </c>
      <c r="D175" s="379">
        <f t="shared" si="30"/>
        <v>1000</v>
      </c>
      <c r="E175" s="379">
        <f t="shared" si="35"/>
        <v>1968</v>
      </c>
      <c r="F175" s="388">
        <f t="shared" si="35"/>
        <v>0</v>
      </c>
      <c r="G175" s="378">
        <f t="shared" si="35"/>
        <v>0</v>
      </c>
      <c r="H175" s="379">
        <f t="shared" si="35"/>
        <v>0</v>
      </c>
      <c r="I175" s="388">
        <f t="shared" si="35"/>
        <v>0</v>
      </c>
      <c r="J175" s="388">
        <f t="shared" si="35"/>
        <v>0</v>
      </c>
      <c r="K175" s="389">
        <f t="shared" si="31"/>
        <v>0</v>
      </c>
      <c r="L175" s="394">
        <f t="shared" si="32"/>
        <v>7904</v>
      </c>
      <c r="M175" s="417">
        <f>Données!AE175</f>
        <v>0</v>
      </c>
      <c r="N175" s="394">
        <v>0</v>
      </c>
      <c r="O175" s="418">
        <f t="shared" si="25"/>
        <v>2968</v>
      </c>
      <c r="P175" s="394">
        <f t="shared" si="33"/>
        <v>7904</v>
      </c>
      <c r="Q175" s="419">
        <f t="shared" si="26"/>
        <v>91508.967024209211</v>
      </c>
      <c r="R175" s="394">
        <f t="shared" si="27"/>
        <v>199980.82552233018</v>
      </c>
      <c r="S175" s="393">
        <f t="shared" si="28"/>
        <v>198412.81177489177</v>
      </c>
      <c r="T175" s="418">
        <f t="shared" si="29"/>
        <v>0</v>
      </c>
      <c r="U175" s="422">
        <f t="shared" si="34"/>
        <v>489902.60432143114</v>
      </c>
    </row>
    <row r="176" spans="1:21" x14ac:dyDescent="0.25">
      <c r="A176" s="148">
        <f>Données!A176</f>
        <v>5703</v>
      </c>
      <c r="B176" s="149" t="str">
        <f>Données!B176</f>
        <v>Bassins</v>
      </c>
      <c r="C176" s="392">
        <f>Données!C176</f>
        <v>1484</v>
      </c>
      <c r="D176" s="379">
        <f t="shared" si="30"/>
        <v>1000</v>
      </c>
      <c r="E176" s="379">
        <f t="shared" si="35"/>
        <v>484</v>
      </c>
      <c r="F176" s="388">
        <f t="shared" si="35"/>
        <v>0</v>
      </c>
      <c r="G176" s="378">
        <f t="shared" si="35"/>
        <v>0</v>
      </c>
      <c r="H176" s="379">
        <f t="shared" si="35"/>
        <v>0</v>
      </c>
      <c r="I176" s="388">
        <f t="shared" si="35"/>
        <v>0</v>
      </c>
      <c r="J176" s="388">
        <f t="shared" si="35"/>
        <v>0</v>
      </c>
      <c r="K176" s="389">
        <f t="shared" si="31"/>
        <v>0</v>
      </c>
      <c r="L176" s="394">
        <f t="shared" si="32"/>
        <v>3452</v>
      </c>
      <c r="M176" s="417">
        <f>Données!AE176</f>
        <v>0</v>
      </c>
      <c r="N176" s="394">
        <v>0</v>
      </c>
      <c r="O176" s="418">
        <f t="shared" si="25"/>
        <v>1484</v>
      </c>
      <c r="P176" s="394">
        <f t="shared" si="33"/>
        <v>3452</v>
      </c>
      <c r="Q176" s="419">
        <f t="shared" si="26"/>
        <v>45754.483512104605</v>
      </c>
      <c r="R176" s="394">
        <f t="shared" si="27"/>
        <v>99990.412761165091</v>
      </c>
      <c r="S176" s="393">
        <f t="shared" si="28"/>
        <v>86654.988138528133</v>
      </c>
      <c r="T176" s="418">
        <f t="shared" si="29"/>
        <v>0</v>
      </c>
      <c r="U176" s="422">
        <f t="shared" si="34"/>
        <v>232399.88441179783</v>
      </c>
    </row>
    <row r="177" spans="1:21" x14ac:dyDescent="0.25">
      <c r="A177" s="148">
        <f>Données!A177</f>
        <v>5704</v>
      </c>
      <c r="B177" s="149" t="str">
        <f>Données!B177</f>
        <v>Begnins</v>
      </c>
      <c r="C177" s="392">
        <f>Données!C177</f>
        <v>2041</v>
      </c>
      <c r="D177" s="379">
        <f t="shared" si="30"/>
        <v>1000</v>
      </c>
      <c r="E177" s="379">
        <f t="shared" si="35"/>
        <v>1041</v>
      </c>
      <c r="F177" s="388">
        <f t="shared" si="35"/>
        <v>0</v>
      </c>
      <c r="G177" s="378">
        <f t="shared" si="35"/>
        <v>0</v>
      </c>
      <c r="H177" s="379">
        <f t="shared" si="35"/>
        <v>0</v>
      </c>
      <c r="I177" s="388">
        <f t="shared" si="35"/>
        <v>0</v>
      </c>
      <c r="J177" s="388">
        <f t="shared" si="35"/>
        <v>0</v>
      </c>
      <c r="K177" s="389">
        <f t="shared" si="31"/>
        <v>0</v>
      </c>
      <c r="L177" s="394">
        <f t="shared" si="32"/>
        <v>5123</v>
      </c>
      <c r="M177" s="417">
        <f>Données!AE177</f>
        <v>0</v>
      </c>
      <c r="N177" s="394">
        <v>0</v>
      </c>
      <c r="O177" s="418">
        <f t="shared" si="25"/>
        <v>2041</v>
      </c>
      <c r="P177" s="394">
        <f t="shared" si="33"/>
        <v>5123</v>
      </c>
      <c r="Q177" s="419">
        <f t="shared" si="26"/>
        <v>62927.830760246288</v>
      </c>
      <c r="R177" s="394">
        <f t="shared" si="27"/>
        <v>137520.50703877219</v>
      </c>
      <c r="S177" s="393">
        <f t="shared" si="28"/>
        <v>128601.82625541124</v>
      </c>
      <c r="T177" s="418">
        <f t="shared" si="29"/>
        <v>0</v>
      </c>
      <c r="U177" s="422">
        <f t="shared" si="34"/>
        <v>329050.16405442974</v>
      </c>
    </row>
    <row r="178" spans="1:21" x14ac:dyDescent="0.25">
      <c r="A178" s="148">
        <f>Données!A178</f>
        <v>5705</v>
      </c>
      <c r="B178" s="149" t="str">
        <f>Données!B178</f>
        <v>Bogis-Bossey</v>
      </c>
      <c r="C178" s="392">
        <f>Données!C178</f>
        <v>990</v>
      </c>
      <c r="D178" s="379">
        <f t="shared" si="30"/>
        <v>990</v>
      </c>
      <c r="E178" s="379">
        <f t="shared" si="35"/>
        <v>0</v>
      </c>
      <c r="F178" s="388">
        <f t="shared" si="35"/>
        <v>0</v>
      </c>
      <c r="G178" s="378">
        <f t="shared" si="35"/>
        <v>0</v>
      </c>
      <c r="H178" s="379">
        <f t="shared" si="35"/>
        <v>0</v>
      </c>
      <c r="I178" s="388">
        <f t="shared" si="35"/>
        <v>0</v>
      </c>
      <c r="J178" s="388">
        <f t="shared" si="35"/>
        <v>0</v>
      </c>
      <c r="K178" s="389">
        <f t="shared" si="31"/>
        <v>0</v>
      </c>
      <c r="L178" s="394">
        <f t="shared" si="32"/>
        <v>1980</v>
      </c>
      <c r="M178" s="417">
        <f>Données!AE178</f>
        <v>0</v>
      </c>
      <c r="N178" s="394">
        <v>0</v>
      </c>
      <c r="O178" s="418">
        <f t="shared" si="25"/>
        <v>990</v>
      </c>
      <c r="P178" s="394">
        <f t="shared" si="33"/>
        <v>1980</v>
      </c>
      <c r="Q178" s="419">
        <f t="shared" si="26"/>
        <v>30523.543582873015</v>
      </c>
      <c r="R178" s="394">
        <f t="shared" si="27"/>
        <v>66705.194497003657</v>
      </c>
      <c r="S178" s="393">
        <f t="shared" si="28"/>
        <v>49703.614285714284</v>
      </c>
      <c r="T178" s="418">
        <f t="shared" si="29"/>
        <v>0</v>
      </c>
      <c r="U178" s="422">
        <f t="shared" si="34"/>
        <v>146932.35236559095</v>
      </c>
    </row>
    <row r="179" spans="1:21" x14ac:dyDescent="0.25">
      <c r="A179" s="148">
        <f>Données!A179</f>
        <v>5706</v>
      </c>
      <c r="B179" s="149" t="str">
        <f>Données!B179</f>
        <v>Borex</v>
      </c>
      <c r="C179" s="392">
        <f>Données!C179</f>
        <v>1144</v>
      </c>
      <c r="D179" s="379">
        <f t="shared" si="30"/>
        <v>1000</v>
      </c>
      <c r="E179" s="379">
        <f t="shared" si="35"/>
        <v>144</v>
      </c>
      <c r="F179" s="388">
        <f t="shared" si="35"/>
        <v>0</v>
      </c>
      <c r="G179" s="378">
        <f t="shared" si="35"/>
        <v>0</v>
      </c>
      <c r="H179" s="379">
        <f t="shared" si="35"/>
        <v>0</v>
      </c>
      <c r="I179" s="388">
        <f t="shared" si="35"/>
        <v>0</v>
      </c>
      <c r="J179" s="388">
        <f t="shared" si="35"/>
        <v>0</v>
      </c>
      <c r="K179" s="389">
        <f t="shared" si="31"/>
        <v>0</v>
      </c>
      <c r="L179" s="394">
        <f t="shared" si="32"/>
        <v>2432</v>
      </c>
      <c r="M179" s="417">
        <f>Données!AE179</f>
        <v>0</v>
      </c>
      <c r="N179" s="394">
        <v>0</v>
      </c>
      <c r="O179" s="418">
        <f t="shared" si="25"/>
        <v>1144</v>
      </c>
      <c r="P179" s="394">
        <f t="shared" si="33"/>
        <v>2432</v>
      </c>
      <c r="Q179" s="419">
        <f t="shared" si="26"/>
        <v>35271.650362431043</v>
      </c>
      <c r="R179" s="394">
        <f t="shared" si="27"/>
        <v>77081.558085426455</v>
      </c>
      <c r="S179" s="393">
        <f t="shared" si="28"/>
        <v>61050.09593073593</v>
      </c>
      <c r="T179" s="418">
        <f t="shared" si="29"/>
        <v>0</v>
      </c>
      <c r="U179" s="422">
        <f t="shared" si="34"/>
        <v>173403.30437859343</v>
      </c>
    </row>
    <row r="180" spans="1:21" x14ac:dyDescent="0.25">
      <c r="A180" s="148">
        <f>Données!A180</f>
        <v>5707</v>
      </c>
      <c r="B180" s="149" t="str">
        <f>Données!B180</f>
        <v>Chavannes-de-Bogis</v>
      </c>
      <c r="C180" s="392">
        <f>Données!C180</f>
        <v>1388</v>
      </c>
      <c r="D180" s="379">
        <f t="shared" si="30"/>
        <v>1000</v>
      </c>
      <c r="E180" s="379">
        <f t="shared" si="35"/>
        <v>388</v>
      </c>
      <c r="F180" s="388">
        <f t="shared" si="35"/>
        <v>0</v>
      </c>
      <c r="G180" s="378">
        <f t="shared" si="35"/>
        <v>0</v>
      </c>
      <c r="H180" s="379">
        <f t="shared" si="35"/>
        <v>0</v>
      </c>
      <c r="I180" s="388">
        <f t="shared" si="35"/>
        <v>0</v>
      </c>
      <c r="J180" s="388">
        <f t="shared" si="35"/>
        <v>0</v>
      </c>
      <c r="K180" s="389">
        <f t="shared" si="31"/>
        <v>0</v>
      </c>
      <c r="L180" s="394">
        <f t="shared" si="32"/>
        <v>3164</v>
      </c>
      <c r="M180" s="417">
        <f>Données!AE180</f>
        <v>0</v>
      </c>
      <c r="N180" s="394">
        <v>0</v>
      </c>
      <c r="O180" s="418">
        <f t="shared" si="25"/>
        <v>1388</v>
      </c>
      <c r="P180" s="394">
        <f t="shared" si="33"/>
        <v>3164</v>
      </c>
      <c r="Q180" s="419">
        <f t="shared" si="26"/>
        <v>42794.624740432067</v>
      </c>
      <c r="R180" s="394">
        <f t="shared" si="27"/>
        <v>93522.030264485948</v>
      </c>
      <c r="S180" s="393">
        <f t="shared" si="28"/>
        <v>79425.371515151506</v>
      </c>
      <c r="T180" s="418">
        <f t="shared" si="29"/>
        <v>0</v>
      </c>
      <c r="U180" s="422">
        <f t="shared" si="34"/>
        <v>215742.02652006951</v>
      </c>
    </row>
    <row r="181" spans="1:21" x14ac:dyDescent="0.25">
      <c r="A181" s="148">
        <f>Données!A181</f>
        <v>5708</v>
      </c>
      <c r="B181" s="149" t="str">
        <f>Données!B181</f>
        <v>Chavannes-des-Bois</v>
      </c>
      <c r="C181" s="392">
        <f>Données!C181</f>
        <v>982</v>
      </c>
      <c r="D181" s="379">
        <f t="shared" si="30"/>
        <v>982</v>
      </c>
      <c r="E181" s="379">
        <f t="shared" si="35"/>
        <v>0</v>
      </c>
      <c r="F181" s="388">
        <f t="shared" si="35"/>
        <v>0</v>
      </c>
      <c r="G181" s="378">
        <f t="shared" si="35"/>
        <v>0</v>
      </c>
      <c r="H181" s="379">
        <f t="shared" si="35"/>
        <v>0</v>
      </c>
      <c r="I181" s="388">
        <f t="shared" si="35"/>
        <v>0</v>
      </c>
      <c r="J181" s="388">
        <f t="shared" si="35"/>
        <v>0</v>
      </c>
      <c r="K181" s="389">
        <f t="shared" si="31"/>
        <v>0</v>
      </c>
      <c r="L181" s="394">
        <f t="shared" si="32"/>
        <v>1964</v>
      </c>
      <c r="M181" s="417">
        <f>Données!AE181</f>
        <v>0</v>
      </c>
      <c r="N181" s="394">
        <v>0</v>
      </c>
      <c r="O181" s="418">
        <f t="shared" si="25"/>
        <v>982</v>
      </c>
      <c r="P181" s="394">
        <f t="shared" si="33"/>
        <v>1964</v>
      </c>
      <c r="Q181" s="419">
        <f t="shared" si="26"/>
        <v>30276.888685233636</v>
      </c>
      <c r="R181" s="394">
        <f t="shared" si="27"/>
        <v>66166.162622280404</v>
      </c>
      <c r="S181" s="393">
        <f t="shared" si="28"/>
        <v>49301.968917748913</v>
      </c>
      <c r="T181" s="418">
        <f t="shared" si="29"/>
        <v>0</v>
      </c>
      <c r="U181" s="422">
        <f t="shared" si="34"/>
        <v>145745.02022526297</v>
      </c>
    </row>
    <row r="182" spans="1:21" x14ac:dyDescent="0.25">
      <c r="A182" s="148">
        <f>Données!A182</f>
        <v>5709</v>
      </c>
      <c r="B182" s="149" t="str">
        <f>Données!B182</f>
        <v>Chéserex</v>
      </c>
      <c r="C182" s="392">
        <f>Données!C182</f>
        <v>1277</v>
      </c>
      <c r="D182" s="379">
        <f t="shared" si="30"/>
        <v>1000</v>
      </c>
      <c r="E182" s="379">
        <f t="shared" si="35"/>
        <v>277</v>
      </c>
      <c r="F182" s="388">
        <f t="shared" si="35"/>
        <v>0</v>
      </c>
      <c r="G182" s="378">
        <f t="shared" si="35"/>
        <v>0</v>
      </c>
      <c r="H182" s="379">
        <f t="shared" si="35"/>
        <v>0</v>
      </c>
      <c r="I182" s="388">
        <f t="shared" si="35"/>
        <v>0</v>
      </c>
      <c r="J182" s="388">
        <f t="shared" si="35"/>
        <v>0</v>
      </c>
      <c r="K182" s="389">
        <f t="shared" si="31"/>
        <v>0</v>
      </c>
      <c r="L182" s="394">
        <f t="shared" si="32"/>
        <v>2831</v>
      </c>
      <c r="M182" s="417">
        <f>Données!AE182</f>
        <v>0</v>
      </c>
      <c r="N182" s="394">
        <v>0</v>
      </c>
      <c r="O182" s="418">
        <f t="shared" si="25"/>
        <v>1277</v>
      </c>
      <c r="P182" s="394">
        <f t="shared" si="33"/>
        <v>2831</v>
      </c>
      <c r="Q182" s="419">
        <f t="shared" si="26"/>
        <v>39372.288035685699</v>
      </c>
      <c r="R182" s="394">
        <f t="shared" si="27"/>
        <v>86042.963002700679</v>
      </c>
      <c r="S182" s="393">
        <f t="shared" si="28"/>
        <v>71066.127294372287</v>
      </c>
      <c r="T182" s="418">
        <f t="shared" si="29"/>
        <v>0</v>
      </c>
      <c r="U182" s="422">
        <f t="shared" si="34"/>
        <v>196481.37833275867</v>
      </c>
    </row>
    <row r="183" spans="1:21" x14ac:dyDescent="0.25">
      <c r="A183" s="148">
        <f>Données!A183</f>
        <v>5710</v>
      </c>
      <c r="B183" s="149" t="str">
        <f>Données!B183</f>
        <v>Coinsins</v>
      </c>
      <c r="C183" s="392">
        <f>Données!C183</f>
        <v>517</v>
      </c>
      <c r="D183" s="379">
        <f t="shared" si="30"/>
        <v>517</v>
      </c>
      <c r="E183" s="379">
        <f t="shared" si="35"/>
        <v>0</v>
      </c>
      <c r="F183" s="388">
        <f t="shared" si="35"/>
        <v>0</v>
      </c>
      <c r="G183" s="378">
        <f t="shared" si="35"/>
        <v>0</v>
      </c>
      <c r="H183" s="379">
        <f t="shared" si="35"/>
        <v>0</v>
      </c>
      <c r="I183" s="388">
        <f t="shared" si="35"/>
        <v>0</v>
      </c>
      <c r="J183" s="388">
        <f t="shared" si="35"/>
        <v>0</v>
      </c>
      <c r="K183" s="389">
        <f t="shared" si="31"/>
        <v>0</v>
      </c>
      <c r="L183" s="394">
        <f t="shared" si="32"/>
        <v>1034</v>
      </c>
      <c r="M183" s="417">
        <f>Données!AE183</f>
        <v>0</v>
      </c>
      <c r="N183" s="394">
        <v>0</v>
      </c>
      <c r="O183" s="418">
        <f t="shared" si="25"/>
        <v>517</v>
      </c>
      <c r="P183" s="394">
        <f t="shared" si="33"/>
        <v>1034</v>
      </c>
      <c r="Q183" s="419">
        <f t="shared" si="26"/>
        <v>15940.072759944796</v>
      </c>
      <c r="R183" s="394">
        <f t="shared" si="27"/>
        <v>34834.934903990805</v>
      </c>
      <c r="S183" s="393">
        <f t="shared" si="28"/>
        <v>25956.331904761904</v>
      </c>
      <c r="T183" s="418">
        <f t="shared" si="29"/>
        <v>0</v>
      </c>
      <c r="U183" s="422">
        <f t="shared" si="34"/>
        <v>76731.339568697498</v>
      </c>
    </row>
    <row r="184" spans="1:21" x14ac:dyDescent="0.25">
      <c r="A184" s="148">
        <f>Données!A184</f>
        <v>5711</v>
      </c>
      <c r="B184" s="149" t="str">
        <f>Données!B184</f>
        <v>Commugny</v>
      </c>
      <c r="C184" s="392">
        <f>Données!C184</f>
        <v>2987</v>
      </c>
      <c r="D184" s="379">
        <f t="shared" si="30"/>
        <v>1000</v>
      </c>
      <c r="E184" s="379">
        <f t="shared" si="35"/>
        <v>1987</v>
      </c>
      <c r="F184" s="388">
        <f t="shared" si="35"/>
        <v>0</v>
      </c>
      <c r="G184" s="378">
        <f t="shared" si="35"/>
        <v>0</v>
      </c>
      <c r="H184" s="379">
        <f t="shared" si="35"/>
        <v>0</v>
      </c>
      <c r="I184" s="388">
        <f t="shared" si="35"/>
        <v>0</v>
      </c>
      <c r="J184" s="388">
        <f t="shared" si="35"/>
        <v>0</v>
      </c>
      <c r="K184" s="389">
        <f t="shared" si="31"/>
        <v>0</v>
      </c>
      <c r="L184" s="394">
        <f t="shared" si="32"/>
        <v>7961</v>
      </c>
      <c r="M184" s="417">
        <f>Données!AE184</f>
        <v>0</v>
      </c>
      <c r="N184" s="394">
        <v>0</v>
      </c>
      <c r="O184" s="418">
        <f t="shared" si="25"/>
        <v>2987</v>
      </c>
      <c r="P184" s="394">
        <f t="shared" si="33"/>
        <v>7961</v>
      </c>
      <c r="Q184" s="419">
        <f t="shared" si="26"/>
        <v>92094.772406102726</v>
      </c>
      <c r="R184" s="394">
        <f t="shared" si="27"/>
        <v>201261.02622479791</v>
      </c>
      <c r="S184" s="393">
        <f t="shared" si="28"/>
        <v>199843.67339826838</v>
      </c>
      <c r="T184" s="418">
        <f t="shared" si="29"/>
        <v>0</v>
      </c>
      <c r="U184" s="422">
        <f t="shared" si="34"/>
        <v>493199.47202916897</v>
      </c>
    </row>
    <row r="185" spans="1:21" x14ac:dyDescent="0.25">
      <c r="A185" s="148">
        <f>Données!A185</f>
        <v>5712</v>
      </c>
      <c r="B185" s="149" t="str">
        <f>Données!B185</f>
        <v>Coppet</v>
      </c>
      <c r="C185" s="392">
        <f>Données!C185</f>
        <v>3216</v>
      </c>
      <c r="D185" s="379">
        <f t="shared" si="30"/>
        <v>1000</v>
      </c>
      <c r="E185" s="379">
        <f t="shared" si="35"/>
        <v>2000</v>
      </c>
      <c r="F185" s="388">
        <f t="shared" si="35"/>
        <v>216</v>
      </c>
      <c r="G185" s="378">
        <f t="shared" si="35"/>
        <v>0</v>
      </c>
      <c r="H185" s="379">
        <f t="shared" si="35"/>
        <v>0</v>
      </c>
      <c r="I185" s="388">
        <f t="shared" si="35"/>
        <v>0</v>
      </c>
      <c r="J185" s="388">
        <f t="shared" si="35"/>
        <v>0</v>
      </c>
      <c r="K185" s="389">
        <f t="shared" si="31"/>
        <v>0</v>
      </c>
      <c r="L185" s="394">
        <f t="shared" si="32"/>
        <v>8756</v>
      </c>
      <c r="M185" s="417">
        <f>Données!AE185</f>
        <v>0</v>
      </c>
      <c r="N185" s="394">
        <v>0</v>
      </c>
      <c r="O185" s="418">
        <f t="shared" si="25"/>
        <v>3216</v>
      </c>
      <c r="P185" s="394">
        <f t="shared" si="33"/>
        <v>8756</v>
      </c>
      <c r="Q185" s="419">
        <f t="shared" si="26"/>
        <v>99155.268851029919</v>
      </c>
      <c r="R185" s="394">
        <f t="shared" si="27"/>
        <v>216690.81363875128</v>
      </c>
      <c r="S185" s="393">
        <f t="shared" si="28"/>
        <v>219800.42761904761</v>
      </c>
      <c r="T185" s="418">
        <f t="shared" si="29"/>
        <v>0</v>
      </c>
      <c r="U185" s="422">
        <f t="shared" si="34"/>
        <v>535646.51010882878</v>
      </c>
    </row>
    <row r="186" spans="1:21" x14ac:dyDescent="0.25">
      <c r="A186" s="148">
        <f>Données!A186</f>
        <v>5713</v>
      </c>
      <c r="B186" s="149" t="str">
        <f>Données!B186</f>
        <v>Crans</v>
      </c>
      <c r="C186" s="392">
        <f>Données!C186</f>
        <v>2455</v>
      </c>
      <c r="D186" s="379">
        <f t="shared" si="30"/>
        <v>1000</v>
      </c>
      <c r="E186" s="379">
        <f t="shared" si="35"/>
        <v>1455</v>
      </c>
      <c r="F186" s="388">
        <f t="shared" si="35"/>
        <v>0</v>
      </c>
      <c r="G186" s="378">
        <f t="shared" si="35"/>
        <v>0</v>
      </c>
      <c r="H186" s="379">
        <f t="shared" si="35"/>
        <v>0</v>
      </c>
      <c r="I186" s="388">
        <f t="shared" si="35"/>
        <v>0</v>
      </c>
      <c r="J186" s="388">
        <f t="shared" si="35"/>
        <v>0</v>
      </c>
      <c r="K186" s="389">
        <f t="shared" si="31"/>
        <v>0</v>
      </c>
      <c r="L186" s="394">
        <f t="shared" si="32"/>
        <v>6365</v>
      </c>
      <c r="M186" s="417">
        <f>Données!AE186</f>
        <v>1</v>
      </c>
      <c r="N186" s="394">
        <v>1</v>
      </c>
      <c r="O186" s="418">
        <f t="shared" si="25"/>
        <v>0</v>
      </c>
      <c r="P186" s="394">
        <f t="shared" si="33"/>
        <v>0</v>
      </c>
      <c r="Q186" s="419">
        <f t="shared" si="26"/>
        <v>75692.221713084102</v>
      </c>
      <c r="R186" s="394">
        <f t="shared" si="27"/>
        <v>0</v>
      </c>
      <c r="S186" s="393">
        <f t="shared" si="28"/>
        <v>0</v>
      </c>
      <c r="T186" s="418">
        <f t="shared" si="29"/>
        <v>0</v>
      </c>
      <c r="U186" s="422">
        <f t="shared" si="34"/>
        <v>75692.221713084102</v>
      </c>
    </row>
    <row r="187" spans="1:21" x14ac:dyDescent="0.25">
      <c r="A187" s="148">
        <f>Données!A187</f>
        <v>5714</v>
      </c>
      <c r="B187" s="149" t="str">
        <f>Données!B187</f>
        <v>Crassier</v>
      </c>
      <c r="C187" s="392">
        <f>Données!C187</f>
        <v>1274</v>
      </c>
      <c r="D187" s="379">
        <f t="shared" si="30"/>
        <v>1000</v>
      </c>
      <c r="E187" s="379">
        <f t="shared" si="35"/>
        <v>274</v>
      </c>
      <c r="F187" s="388">
        <f t="shared" si="35"/>
        <v>0</v>
      </c>
      <c r="G187" s="378">
        <f t="shared" si="35"/>
        <v>0</v>
      </c>
      <c r="H187" s="379">
        <f t="shared" si="35"/>
        <v>0</v>
      </c>
      <c r="I187" s="388">
        <f t="shared" si="35"/>
        <v>0</v>
      </c>
      <c r="J187" s="388">
        <f t="shared" si="35"/>
        <v>0</v>
      </c>
      <c r="K187" s="389">
        <f t="shared" si="31"/>
        <v>0</v>
      </c>
      <c r="L187" s="394">
        <f t="shared" si="32"/>
        <v>2822</v>
      </c>
      <c r="M187" s="417">
        <f>Données!AE187</f>
        <v>0</v>
      </c>
      <c r="N187" s="394">
        <v>0</v>
      </c>
      <c r="O187" s="418">
        <f t="shared" si="25"/>
        <v>1274</v>
      </c>
      <c r="P187" s="394">
        <f t="shared" si="33"/>
        <v>2822</v>
      </c>
      <c r="Q187" s="419">
        <f t="shared" si="26"/>
        <v>39279.792449070934</v>
      </c>
      <c r="R187" s="394">
        <f t="shared" si="27"/>
        <v>85840.826049679468</v>
      </c>
      <c r="S187" s="393">
        <f t="shared" si="28"/>
        <v>70840.201774891771</v>
      </c>
      <c r="T187" s="418">
        <f t="shared" si="29"/>
        <v>0</v>
      </c>
      <c r="U187" s="422">
        <f t="shared" si="34"/>
        <v>195960.8202736422</v>
      </c>
    </row>
    <row r="188" spans="1:21" x14ac:dyDescent="0.25">
      <c r="A188" s="148">
        <f>Données!A188</f>
        <v>5715</v>
      </c>
      <c r="B188" s="149" t="str">
        <f>Données!B188</f>
        <v>Duillier</v>
      </c>
      <c r="C188" s="392">
        <f>Données!C188</f>
        <v>1143</v>
      </c>
      <c r="D188" s="379">
        <f t="shared" si="30"/>
        <v>1000</v>
      </c>
      <c r="E188" s="379">
        <f t="shared" si="35"/>
        <v>143</v>
      </c>
      <c r="F188" s="388">
        <f t="shared" si="35"/>
        <v>0</v>
      </c>
      <c r="G188" s="378">
        <f t="shared" si="35"/>
        <v>0</v>
      </c>
      <c r="H188" s="379">
        <f t="shared" si="35"/>
        <v>0</v>
      </c>
      <c r="I188" s="388">
        <f t="shared" si="35"/>
        <v>0</v>
      </c>
      <c r="J188" s="388">
        <f t="shared" si="35"/>
        <v>0</v>
      </c>
      <c r="K188" s="389">
        <f t="shared" si="31"/>
        <v>0</v>
      </c>
      <c r="L188" s="394">
        <f t="shared" si="32"/>
        <v>2429</v>
      </c>
      <c r="M188" s="417">
        <f>Données!AE188</f>
        <v>0</v>
      </c>
      <c r="N188" s="394">
        <v>0</v>
      </c>
      <c r="O188" s="418">
        <f t="shared" si="25"/>
        <v>1143</v>
      </c>
      <c r="P188" s="394">
        <f t="shared" si="33"/>
        <v>2429</v>
      </c>
      <c r="Q188" s="419">
        <f t="shared" si="26"/>
        <v>35240.818500226116</v>
      </c>
      <c r="R188" s="394">
        <f t="shared" si="27"/>
        <v>77014.179101086047</v>
      </c>
      <c r="S188" s="393">
        <f t="shared" si="28"/>
        <v>60974.787424242422</v>
      </c>
      <c r="T188" s="418">
        <f t="shared" si="29"/>
        <v>0</v>
      </c>
      <c r="U188" s="422">
        <f t="shared" si="34"/>
        <v>173229.78502555459</v>
      </c>
    </row>
    <row r="189" spans="1:21" x14ac:dyDescent="0.25">
      <c r="A189" s="148">
        <f>Données!A189</f>
        <v>5716</v>
      </c>
      <c r="B189" s="149" t="str">
        <f>Données!B189</f>
        <v>Eysins</v>
      </c>
      <c r="C189" s="392">
        <f>Données!C189</f>
        <v>1772</v>
      </c>
      <c r="D189" s="379">
        <f t="shared" si="30"/>
        <v>1000</v>
      </c>
      <c r="E189" s="379">
        <f t="shared" si="35"/>
        <v>772</v>
      </c>
      <c r="F189" s="388">
        <f t="shared" si="35"/>
        <v>0</v>
      </c>
      <c r="G189" s="378">
        <f t="shared" si="35"/>
        <v>0</v>
      </c>
      <c r="H189" s="379">
        <f t="shared" si="35"/>
        <v>0</v>
      </c>
      <c r="I189" s="388">
        <f t="shared" si="35"/>
        <v>0</v>
      </c>
      <c r="J189" s="388">
        <f t="shared" si="35"/>
        <v>0</v>
      </c>
      <c r="K189" s="389">
        <f t="shared" si="31"/>
        <v>0</v>
      </c>
      <c r="L189" s="394">
        <f t="shared" si="32"/>
        <v>4316</v>
      </c>
      <c r="M189" s="417">
        <f>Données!AE189</f>
        <v>0</v>
      </c>
      <c r="N189" s="394">
        <v>0</v>
      </c>
      <c r="O189" s="418">
        <f t="shared" si="25"/>
        <v>1772</v>
      </c>
      <c r="P189" s="394">
        <f t="shared" si="33"/>
        <v>4316</v>
      </c>
      <c r="Q189" s="419">
        <f t="shared" si="26"/>
        <v>54634.059827122204</v>
      </c>
      <c r="R189" s="394">
        <f t="shared" si="27"/>
        <v>119395.56025120252</v>
      </c>
      <c r="S189" s="393">
        <f t="shared" si="28"/>
        <v>108343.838008658</v>
      </c>
      <c r="T189" s="418">
        <f t="shared" si="29"/>
        <v>0</v>
      </c>
      <c r="U189" s="422">
        <f t="shared" si="34"/>
        <v>282373.45808698272</v>
      </c>
    </row>
    <row r="190" spans="1:21" x14ac:dyDescent="0.25">
      <c r="A190" s="148">
        <f>Données!A190</f>
        <v>5717</v>
      </c>
      <c r="B190" s="149" t="str">
        <f>Données!B190</f>
        <v>Founex</v>
      </c>
      <c r="C190" s="392">
        <f>Données!C190</f>
        <v>3748</v>
      </c>
      <c r="D190" s="379">
        <f t="shared" si="30"/>
        <v>1000</v>
      </c>
      <c r="E190" s="379">
        <f t="shared" si="35"/>
        <v>2000</v>
      </c>
      <c r="F190" s="388">
        <f t="shared" si="35"/>
        <v>748</v>
      </c>
      <c r="G190" s="378">
        <f t="shared" si="35"/>
        <v>0</v>
      </c>
      <c r="H190" s="379">
        <f t="shared" si="35"/>
        <v>0</v>
      </c>
      <c r="I190" s="388">
        <f t="shared" si="35"/>
        <v>0</v>
      </c>
      <c r="J190" s="388">
        <f t="shared" si="35"/>
        <v>0</v>
      </c>
      <c r="K190" s="389">
        <f t="shared" si="31"/>
        <v>0</v>
      </c>
      <c r="L190" s="394">
        <f t="shared" si="32"/>
        <v>10618</v>
      </c>
      <c r="M190" s="417">
        <f>Données!AE190</f>
        <v>0</v>
      </c>
      <c r="N190" s="394">
        <v>0</v>
      </c>
      <c r="O190" s="418">
        <f t="shared" si="25"/>
        <v>3748</v>
      </c>
      <c r="P190" s="394">
        <f t="shared" si="33"/>
        <v>10618</v>
      </c>
      <c r="Q190" s="419">
        <f t="shared" si="26"/>
        <v>115557.81954404854</v>
      </c>
      <c r="R190" s="394">
        <f t="shared" si="27"/>
        <v>252536.4333078482</v>
      </c>
      <c r="S190" s="393">
        <f t="shared" si="28"/>
        <v>266541.90731601731</v>
      </c>
      <c r="T190" s="418">
        <f t="shared" si="29"/>
        <v>0</v>
      </c>
      <c r="U190" s="422">
        <f t="shared" si="34"/>
        <v>634636.16016791412</v>
      </c>
    </row>
    <row r="191" spans="1:21" x14ac:dyDescent="0.25">
      <c r="A191" s="148">
        <f>Données!A191</f>
        <v>5718</v>
      </c>
      <c r="B191" s="149" t="str">
        <f>Données!B191</f>
        <v>Genolier</v>
      </c>
      <c r="C191" s="392">
        <f>Données!C191</f>
        <v>2012</v>
      </c>
      <c r="D191" s="379">
        <f t="shared" si="30"/>
        <v>1000</v>
      </c>
      <c r="E191" s="379">
        <f t="shared" si="35"/>
        <v>1012</v>
      </c>
      <c r="F191" s="388">
        <f t="shared" si="35"/>
        <v>0</v>
      </c>
      <c r="G191" s="378">
        <f t="shared" si="35"/>
        <v>0</v>
      </c>
      <c r="H191" s="379">
        <f t="shared" si="35"/>
        <v>0</v>
      </c>
      <c r="I191" s="388">
        <f t="shared" si="35"/>
        <v>0</v>
      </c>
      <c r="J191" s="388">
        <f t="shared" si="35"/>
        <v>0</v>
      </c>
      <c r="K191" s="389">
        <f t="shared" si="31"/>
        <v>0</v>
      </c>
      <c r="L191" s="394">
        <f t="shared" si="32"/>
        <v>5036</v>
      </c>
      <c r="M191" s="417">
        <f>Données!AE191</f>
        <v>0</v>
      </c>
      <c r="N191" s="394">
        <v>0</v>
      </c>
      <c r="O191" s="418">
        <f t="shared" si="25"/>
        <v>2012</v>
      </c>
      <c r="P191" s="394">
        <f t="shared" si="33"/>
        <v>5036</v>
      </c>
      <c r="Q191" s="419">
        <f t="shared" si="26"/>
        <v>62033.706756303545</v>
      </c>
      <c r="R191" s="394">
        <f t="shared" si="27"/>
        <v>135566.51649290038</v>
      </c>
      <c r="S191" s="393">
        <f t="shared" si="28"/>
        <v>126417.87956709956</v>
      </c>
      <c r="T191" s="418">
        <f t="shared" si="29"/>
        <v>0</v>
      </c>
      <c r="U191" s="422">
        <f t="shared" si="34"/>
        <v>324018.10281630349</v>
      </c>
    </row>
    <row r="192" spans="1:21" x14ac:dyDescent="0.25">
      <c r="A192" s="148">
        <f>Données!A192</f>
        <v>5719</v>
      </c>
      <c r="B192" s="149" t="str">
        <f>Données!B192</f>
        <v>Gingins</v>
      </c>
      <c r="C192" s="392">
        <f>Données!C192</f>
        <v>1253</v>
      </c>
      <c r="D192" s="379">
        <f t="shared" si="30"/>
        <v>1000</v>
      </c>
      <c r="E192" s="379">
        <f t="shared" si="35"/>
        <v>253</v>
      </c>
      <c r="F192" s="388">
        <f t="shared" si="35"/>
        <v>0</v>
      </c>
      <c r="G192" s="378">
        <f t="shared" si="35"/>
        <v>0</v>
      </c>
      <c r="H192" s="379">
        <f t="shared" si="35"/>
        <v>0</v>
      </c>
      <c r="I192" s="388">
        <f t="shared" si="35"/>
        <v>0</v>
      </c>
      <c r="J192" s="388">
        <f t="shared" si="35"/>
        <v>0</v>
      </c>
      <c r="K192" s="389">
        <f t="shared" si="31"/>
        <v>0</v>
      </c>
      <c r="L192" s="394">
        <f t="shared" si="32"/>
        <v>2759</v>
      </c>
      <c r="M192" s="417">
        <f>Données!AE192</f>
        <v>0</v>
      </c>
      <c r="N192" s="394">
        <v>0</v>
      </c>
      <c r="O192" s="418">
        <f t="shared" si="25"/>
        <v>1253</v>
      </c>
      <c r="P192" s="394">
        <f t="shared" si="33"/>
        <v>2759</v>
      </c>
      <c r="Q192" s="419">
        <f t="shared" si="26"/>
        <v>38632.323342767566</v>
      </c>
      <c r="R192" s="394">
        <f t="shared" si="27"/>
        <v>84425.867378530893</v>
      </c>
      <c r="S192" s="393">
        <f t="shared" si="28"/>
        <v>69258.723138528134</v>
      </c>
      <c r="T192" s="418">
        <f t="shared" si="29"/>
        <v>0</v>
      </c>
      <c r="U192" s="422">
        <f t="shared" si="34"/>
        <v>192316.91385982657</v>
      </c>
    </row>
    <row r="193" spans="1:21" x14ac:dyDescent="0.25">
      <c r="A193" s="148">
        <f>Données!A193</f>
        <v>5720</v>
      </c>
      <c r="B193" s="149" t="str">
        <f>Données!B193</f>
        <v>Givrins</v>
      </c>
      <c r="C193" s="392">
        <f>Données!C193</f>
        <v>1071</v>
      </c>
      <c r="D193" s="379">
        <f t="shared" si="30"/>
        <v>1000</v>
      </c>
      <c r="E193" s="379">
        <f t="shared" si="35"/>
        <v>71</v>
      </c>
      <c r="F193" s="388">
        <f t="shared" si="35"/>
        <v>0</v>
      </c>
      <c r="G193" s="378">
        <f t="shared" si="35"/>
        <v>0</v>
      </c>
      <c r="H193" s="379">
        <f t="shared" si="35"/>
        <v>0</v>
      </c>
      <c r="I193" s="388">
        <f t="shared" si="35"/>
        <v>0</v>
      </c>
      <c r="J193" s="388">
        <f t="shared" si="35"/>
        <v>0</v>
      </c>
      <c r="K193" s="389">
        <f t="shared" si="31"/>
        <v>0</v>
      </c>
      <c r="L193" s="394">
        <f t="shared" si="32"/>
        <v>2213</v>
      </c>
      <c r="M193" s="417">
        <f>Données!AE193</f>
        <v>0</v>
      </c>
      <c r="N193" s="394">
        <v>0</v>
      </c>
      <c r="O193" s="418">
        <f t="shared" si="25"/>
        <v>1071</v>
      </c>
      <c r="P193" s="394">
        <f t="shared" si="33"/>
        <v>2213</v>
      </c>
      <c r="Q193" s="419">
        <f t="shared" si="26"/>
        <v>33020.924421471718</v>
      </c>
      <c r="R193" s="394">
        <f t="shared" si="27"/>
        <v>72162.892228576689</v>
      </c>
      <c r="S193" s="393">
        <f t="shared" si="28"/>
        <v>55552.574956709956</v>
      </c>
      <c r="T193" s="418">
        <f t="shared" si="29"/>
        <v>0</v>
      </c>
      <c r="U193" s="422">
        <f t="shared" si="34"/>
        <v>160736.39160675835</v>
      </c>
    </row>
    <row r="194" spans="1:21" x14ac:dyDescent="0.25">
      <c r="A194" s="148">
        <f>Données!A194</f>
        <v>5721</v>
      </c>
      <c r="B194" s="149" t="str">
        <f>Données!B194</f>
        <v>Gland</v>
      </c>
      <c r="C194" s="392">
        <f>Données!C194</f>
        <v>13968</v>
      </c>
      <c r="D194" s="379">
        <f t="shared" si="30"/>
        <v>1000</v>
      </c>
      <c r="E194" s="379">
        <f t="shared" ref="E194:J236" si="36">IF($C194&lt;E$4,0,IF($C194&gt;E$5,E$5-E$4,$C194-E$4))</f>
        <v>2000</v>
      </c>
      <c r="F194" s="388">
        <f t="shared" si="36"/>
        <v>2000</v>
      </c>
      <c r="G194" s="378">
        <f t="shared" si="36"/>
        <v>7000</v>
      </c>
      <c r="H194" s="379">
        <f t="shared" si="36"/>
        <v>1968</v>
      </c>
      <c r="I194" s="388">
        <f t="shared" si="36"/>
        <v>0</v>
      </c>
      <c r="J194" s="388">
        <f t="shared" si="36"/>
        <v>0</v>
      </c>
      <c r="K194" s="389">
        <f t="shared" si="31"/>
        <v>0</v>
      </c>
      <c r="L194" s="394">
        <f t="shared" si="32"/>
        <v>52840</v>
      </c>
      <c r="M194" s="417">
        <f>Données!AE194</f>
        <v>0</v>
      </c>
      <c r="N194" s="394">
        <v>0</v>
      </c>
      <c r="O194" s="418">
        <f t="shared" si="25"/>
        <v>13968</v>
      </c>
      <c r="P194" s="394">
        <f t="shared" si="33"/>
        <v>52840</v>
      </c>
      <c r="Q194" s="419">
        <f t="shared" si="26"/>
        <v>430659.45127835381</v>
      </c>
      <c r="R194" s="394">
        <f t="shared" si="27"/>
        <v>941149.65326681535</v>
      </c>
      <c r="S194" s="393">
        <f t="shared" si="28"/>
        <v>1326433.8277056275</v>
      </c>
      <c r="T194" s="418">
        <f t="shared" si="29"/>
        <v>0</v>
      </c>
      <c r="U194" s="422">
        <f t="shared" si="34"/>
        <v>2698242.9322507968</v>
      </c>
    </row>
    <row r="195" spans="1:21" x14ac:dyDescent="0.25">
      <c r="A195" s="148">
        <f>Données!A195</f>
        <v>5722</v>
      </c>
      <c r="B195" s="149" t="str">
        <f>Données!B195</f>
        <v>Grens</v>
      </c>
      <c r="C195" s="392">
        <f>Données!C195</f>
        <v>394</v>
      </c>
      <c r="D195" s="379">
        <f t="shared" si="30"/>
        <v>394</v>
      </c>
      <c r="E195" s="379">
        <f t="shared" si="36"/>
        <v>0</v>
      </c>
      <c r="F195" s="388">
        <f t="shared" si="36"/>
        <v>0</v>
      </c>
      <c r="G195" s="378">
        <f t="shared" si="36"/>
        <v>0</v>
      </c>
      <c r="H195" s="379">
        <f t="shared" si="36"/>
        <v>0</v>
      </c>
      <c r="I195" s="388">
        <f t="shared" si="36"/>
        <v>0</v>
      </c>
      <c r="J195" s="388">
        <f t="shared" si="36"/>
        <v>0</v>
      </c>
      <c r="K195" s="389">
        <f t="shared" si="31"/>
        <v>0</v>
      </c>
      <c r="L195" s="394">
        <f t="shared" si="32"/>
        <v>788</v>
      </c>
      <c r="M195" s="417">
        <f>Données!AE195</f>
        <v>0</v>
      </c>
      <c r="N195" s="394">
        <v>0</v>
      </c>
      <c r="O195" s="418">
        <f t="shared" si="25"/>
        <v>394</v>
      </c>
      <c r="P195" s="394">
        <f t="shared" si="33"/>
        <v>788</v>
      </c>
      <c r="Q195" s="419">
        <f t="shared" si="26"/>
        <v>12147.753708739361</v>
      </c>
      <c r="R195" s="394">
        <f t="shared" si="27"/>
        <v>26547.31983012065</v>
      </c>
      <c r="S195" s="393">
        <f t="shared" si="28"/>
        <v>19781.034372294373</v>
      </c>
      <c r="T195" s="418">
        <f t="shared" si="29"/>
        <v>0</v>
      </c>
      <c r="U195" s="422">
        <f t="shared" si="34"/>
        <v>58476.107911154388</v>
      </c>
    </row>
    <row r="196" spans="1:21" x14ac:dyDescent="0.25">
      <c r="A196" s="148">
        <f>Données!A196</f>
        <v>5723</v>
      </c>
      <c r="B196" s="149" t="str">
        <f>Données!B196</f>
        <v>Mies</v>
      </c>
      <c r="C196" s="392">
        <f>Données!C196</f>
        <v>2163</v>
      </c>
      <c r="D196" s="379">
        <f t="shared" si="30"/>
        <v>1000</v>
      </c>
      <c r="E196" s="379">
        <f t="shared" si="36"/>
        <v>1163</v>
      </c>
      <c r="F196" s="388">
        <f t="shared" si="36"/>
        <v>0</v>
      </c>
      <c r="G196" s="378">
        <f t="shared" si="36"/>
        <v>0</v>
      </c>
      <c r="H196" s="379">
        <f t="shared" si="36"/>
        <v>0</v>
      </c>
      <c r="I196" s="388">
        <f t="shared" si="36"/>
        <v>0</v>
      </c>
      <c r="J196" s="388">
        <f t="shared" si="36"/>
        <v>0</v>
      </c>
      <c r="K196" s="389">
        <f t="shared" si="31"/>
        <v>0</v>
      </c>
      <c r="L196" s="394">
        <f t="shared" si="32"/>
        <v>5489</v>
      </c>
      <c r="M196" s="417">
        <f>Données!AE196</f>
        <v>0</v>
      </c>
      <c r="N196" s="394">
        <v>0</v>
      </c>
      <c r="O196" s="418">
        <f t="shared" si="25"/>
        <v>2163</v>
      </c>
      <c r="P196" s="394">
        <f t="shared" si="33"/>
        <v>5489</v>
      </c>
      <c r="Q196" s="419">
        <f t="shared" si="26"/>
        <v>66689.317949246804</v>
      </c>
      <c r="R196" s="394">
        <f t="shared" si="27"/>
        <v>145740.74312830195</v>
      </c>
      <c r="S196" s="393">
        <f t="shared" si="28"/>
        <v>137789.46404761903</v>
      </c>
      <c r="T196" s="418">
        <f t="shared" si="29"/>
        <v>0</v>
      </c>
      <c r="U196" s="422">
        <f t="shared" si="34"/>
        <v>350219.5251251678</v>
      </c>
    </row>
    <row r="197" spans="1:21" x14ac:dyDescent="0.25">
      <c r="A197" s="148">
        <f>Données!A197</f>
        <v>5724</v>
      </c>
      <c r="B197" s="149" t="str">
        <f>Données!B197</f>
        <v>Nyon</v>
      </c>
      <c r="C197" s="392">
        <f>Données!C197</f>
        <v>23328</v>
      </c>
      <c r="D197" s="379">
        <f t="shared" si="30"/>
        <v>1000</v>
      </c>
      <c r="E197" s="379">
        <f t="shared" si="36"/>
        <v>2000</v>
      </c>
      <c r="F197" s="388">
        <f t="shared" si="36"/>
        <v>2000</v>
      </c>
      <c r="G197" s="378">
        <f t="shared" si="36"/>
        <v>7000</v>
      </c>
      <c r="H197" s="379">
        <f t="shared" si="36"/>
        <v>3000</v>
      </c>
      <c r="I197" s="388">
        <f t="shared" si="36"/>
        <v>8328</v>
      </c>
      <c r="J197" s="388">
        <f t="shared" si="36"/>
        <v>0</v>
      </c>
      <c r="K197" s="389">
        <f t="shared" si="31"/>
        <v>0</v>
      </c>
      <c r="L197" s="394">
        <f t="shared" si="32"/>
        <v>107968</v>
      </c>
      <c r="M197" s="417">
        <f>Données!AE197</f>
        <v>1</v>
      </c>
      <c r="N197" s="394">
        <v>1</v>
      </c>
      <c r="O197" s="418">
        <f t="shared" si="25"/>
        <v>0</v>
      </c>
      <c r="P197" s="394">
        <f t="shared" si="33"/>
        <v>0</v>
      </c>
      <c r="Q197" s="419">
        <f t="shared" si="26"/>
        <v>719245.68151642603</v>
      </c>
      <c r="R197" s="394">
        <f t="shared" si="27"/>
        <v>0</v>
      </c>
      <c r="S197" s="393">
        <f t="shared" si="28"/>
        <v>0</v>
      </c>
      <c r="T197" s="418">
        <f t="shared" si="29"/>
        <v>0</v>
      </c>
      <c r="U197" s="422">
        <f t="shared" si="34"/>
        <v>719245.68151642603</v>
      </c>
    </row>
    <row r="198" spans="1:21" x14ac:dyDescent="0.25">
      <c r="A198" s="148">
        <f>Données!A198</f>
        <v>5725</v>
      </c>
      <c r="B198" s="149" t="str">
        <f>Données!B198</f>
        <v>Prangins</v>
      </c>
      <c r="C198" s="392">
        <f>Données!C198</f>
        <v>4280</v>
      </c>
      <c r="D198" s="379">
        <f t="shared" si="30"/>
        <v>1000</v>
      </c>
      <c r="E198" s="379">
        <f t="shared" si="36"/>
        <v>2000</v>
      </c>
      <c r="F198" s="388">
        <f t="shared" si="36"/>
        <v>1280</v>
      </c>
      <c r="G198" s="378">
        <f t="shared" si="36"/>
        <v>0</v>
      </c>
      <c r="H198" s="379">
        <f t="shared" si="36"/>
        <v>0</v>
      </c>
      <c r="I198" s="388">
        <f t="shared" si="36"/>
        <v>0</v>
      </c>
      <c r="J198" s="388">
        <f t="shared" si="36"/>
        <v>0</v>
      </c>
      <c r="K198" s="389">
        <f t="shared" si="31"/>
        <v>0</v>
      </c>
      <c r="L198" s="394">
        <f t="shared" si="32"/>
        <v>12480</v>
      </c>
      <c r="M198" s="417">
        <f>Données!AE198</f>
        <v>1</v>
      </c>
      <c r="N198" s="394">
        <v>1</v>
      </c>
      <c r="O198" s="418">
        <f t="shared" si="25"/>
        <v>0</v>
      </c>
      <c r="P198" s="394">
        <f t="shared" si="33"/>
        <v>0</v>
      </c>
      <c r="Q198" s="419">
        <f t="shared" si="26"/>
        <v>131960.37023706717</v>
      </c>
      <c r="R198" s="394">
        <f t="shared" si="27"/>
        <v>0</v>
      </c>
      <c r="S198" s="393">
        <f t="shared" si="28"/>
        <v>0</v>
      </c>
      <c r="T198" s="418">
        <f t="shared" si="29"/>
        <v>0</v>
      </c>
      <c r="U198" s="422">
        <f t="shared" si="34"/>
        <v>131960.37023706717</v>
      </c>
    </row>
    <row r="199" spans="1:21" x14ac:dyDescent="0.25">
      <c r="A199" s="148">
        <f>Données!A199</f>
        <v>5726</v>
      </c>
      <c r="B199" s="149" t="str">
        <f>Données!B199</f>
        <v>La Rippe</v>
      </c>
      <c r="C199" s="392">
        <f>Données!C199</f>
        <v>1194</v>
      </c>
      <c r="D199" s="379">
        <f t="shared" si="30"/>
        <v>1000</v>
      </c>
      <c r="E199" s="379">
        <f t="shared" si="36"/>
        <v>194</v>
      </c>
      <c r="F199" s="388">
        <f t="shared" si="36"/>
        <v>0</v>
      </c>
      <c r="G199" s="378">
        <f t="shared" si="36"/>
        <v>0</v>
      </c>
      <c r="H199" s="379">
        <f t="shared" si="36"/>
        <v>0</v>
      </c>
      <c r="I199" s="388">
        <f t="shared" si="36"/>
        <v>0</v>
      </c>
      <c r="J199" s="388">
        <f t="shared" si="36"/>
        <v>0</v>
      </c>
      <c r="K199" s="389">
        <f t="shared" si="31"/>
        <v>0</v>
      </c>
      <c r="L199" s="394">
        <f t="shared" si="32"/>
        <v>2582</v>
      </c>
      <c r="M199" s="417">
        <f>Données!AE199</f>
        <v>0</v>
      </c>
      <c r="N199" s="394">
        <v>0</v>
      </c>
      <c r="O199" s="418">
        <f t="shared" si="25"/>
        <v>1194</v>
      </c>
      <c r="P199" s="394">
        <f t="shared" si="33"/>
        <v>2582</v>
      </c>
      <c r="Q199" s="419">
        <f t="shared" si="26"/>
        <v>36813.243472677153</v>
      </c>
      <c r="R199" s="394">
        <f t="shared" si="27"/>
        <v>80450.507302446844</v>
      </c>
      <c r="S199" s="393">
        <f t="shared" si="28"/>
        <v>64815.521255411251</v>
      </c>
      <c r="T199" s="418">
        <f t="shared" si="29"/>
        <v>0</v>
      </c>
      <c r="U199" s="422">
        <f t="shared" si="34"/>
        <v>182079.27203053527</v>
      </c>
    </row>
    <row r="200" spans="1:21" x14ac:dyDescent="0.25">
      <c r="A200" s="148">
        <f>Données!A200</f>
        <v>5727</v>
      </c>
      <c r="B200" s="149" t="str">
        <f>Données!B200</f>
        <v>Saint-Cergue</v>
      </c>
      <c r="C200" s="392">
        <f>Données!C200</f>
        <v>3012</v>
      </c>
      <c r="D200" s="379">
        <f t="shared" si="30"/>
        <v>1000</v>
      </c>
      <c r="E200" s="379">
        <f t="shared" si="36"/>
        <v>2000</v>
      </c>
      <c r="F200" s="388">
        <f t="shared" si="36"/>
        <v>12</v>
      </c>
      <c r="G200" s="378">
        <f t="shared" si="36"/>
        <v>0</v>
      </c>
      <c r="H200" s="379">
        <f t="shared" si="36"/>
        <v>0</v>
      </c>
      <c r="I200" s="388">
        <f t="shared" si="36"/>
        <v>0</v>
      </c>
      <c r="J200" s="388">
        <f t="shared" si="36"/>
        <v>0</v>
      </c>
      <c r="K200" s="389">
        <f t="shared" si="31"/>
        <v>0</v>
      </c>
      <c r="L200" s="394">
        <f t="shared" si="32"/>
        <v>8042</v>
      </c>
      <c r="M200" s="417">
        <f>Données!AE200</f>
        <v>0</v>
      </c>
      <c r="N200" s="394">
        <v>0</v>
      </c>
      <c r="O200" s="418">
        <f t="shared" ref="O200:O263" si="37">IF(N200=0,C200,0)</f>
        <v>3012</v>
      </c>
      <c r="P200" s="394">
        <f t="shared" si="33"/>
        <v>8042</v>
      </c>
      <c r="Q200" s="419">
        <f t="shared" ref="Q200:Q263" si="38">$Q$6/$C$308*C200</f>
        <v>92865.568961225785</v>
      </c>
      <c r="R200" s="394">
        <f t="shared" ref="R200:R263" si="39">$R$6/$O$308*O200</f>
        <v>202945.50083330812</v>
      </c>
      <c r="S200" s="393">
        <f t="shared" ref="S200:S263" si="40">$S$6/$P$308*P200</f>
        <v>201877.00307359305</v>
      </c>
      <c r="T200" s="418">
        <f t="shared" ref="T200:T263" si="41">IF(M200&gt;N200,-R200-S200,IF(M200&lt;N200,C200*$R$311+L200*$S$311,IF(M200=N200,0,"Erreur")))</f>
        <v>0</v>
      </c>
      <c r="U200" s="422">
        <f t="shared" si="34"/>
        <v>497688.07286812691</v>
      </c>
    </row>
    <row r="201" spans="1:21" x14ac:dyDescent="0.25">
      <c r="A201" s="148">
        <f>Données!A201</f>
        <v>5728</v>
      </c>
      <c r="B201" s="149" t="str">
        <f>Données!B201</f>
        <v>Signy-Avenex</v>
      </c>
      <c r="C201" s="392">
        <f>Données!C201</f>
        <v>605</v>
      </c>
      <c r="D201" s="379">
        <f t="shared" ref="D201:D264" si="42">IF(C201&gt;$D$5,$D$5-$D$4,C201)</f>
        <v>605</v>
      </c>
      <c r="E201" s="379">
        <f t="shared" si="36"/>
        <v>0</v>
      </c>
      <c r="F201" s="388">
        <f t="shared" si="36"/>
        <v>0</v>
      </c>
      <c r="G201" s="378">
        <f t="shared" si="36"/>
        <v>0</v>
      </c>
      <c r="H201" s="379">
        <f t="shared" si="36"/>
        <v>0</v>
      </c>
      <c r="I201" s="388">
        <f t="shared" si="36"/>
        <v>0</v>
      </c>
      <c r="J201" s="388">
        <f t="shared" si="36"/>
        <v>0</v>
      </c>
      <c r="K201" s="389">
        <f t="shared" ref="K201:K264" si="43">IF($C201&lt;K$4,0,$C201-K$4)</f>
        <v>0</v>
      </c>
      <c r="L201" s="394">
        <f t="shared" ref="L201:L264" si="44">SUMPRODUCT($D$6:$K$6,D201:K201)</f>
        <v>1210</v>
      </c>
      <c r="M201" s="417">
        <f>Données!AE201</f>
        <v>0</v>
      </c>
      <c r="N201" s="394">
        <v>0</v>
      </c>
      <c r="O201" s="418">
        <f t="shared" si="37"/>
        <v>605</v>
      </c>
      <c r="P201" s="394">
        <f t="shared" ref="P201:P264" si="45">IF(N201=0,L201,0)</f>
        <v>1210</v>
      </c>
      <c r="Q201" s="419">
        <f t="shared" si="38"/>
        <v>18653.276633977955</v>
      </c>
      <c r="R201" s="394">
        <f t="shared" si="39"/>
        <v>40764.285525946681</v>
      </c>
      <c r="S201" s="393">
        <f t="shared" si="40"/>
        <v>30374.43095238095</v>
      </c>
      <c r="T201" s="418">
        <f t="shared" si="41"/>
        <v>0</v>
      </c>
      <c r="U201" s="422">
        <f t="shared" ref="U201:U264" si="46">SUM(Q201:T201)</f>
        <v>89791.993112305587</v>
      </c>
    </row>
    <row r="202" spans="1:21" x14ac:dyDescent="0.25">
      <c r="A202" s="148">
        <f>Données!A202</f>
        <v>5729</v>
      </c>
      <c r="B202" s="149" t="str">
        <f>Données!B202</f>
        <v>Tannay</v>
      </c>
      <c r="C202" s="392">
        <f>Données!C202</f>
        <v>1728</v>
      </c>
      <c r="D202" s="379">
        <f t="shared" si="42"/>
        <v>1000</v>
      </c>
      <c r="E202" s="379">
        <f t="shared" si="36"/>
        <v>728</v>
      </c>
      <c r="F202" s="388">
        <f t="shared" si="36"/>
        <v>0</v>
      </c>
      <c r="G202" s="378">
        <f t="shared" si="36"/>
        <v>0</v>
      </c>
      <c r="H202" s="379">
        <f t="shared" si="36"/>
        <v>0</v>
      </c>
      <c r="I202" s="388">
        <f t="shared" si="36"/>
        <v>0</v>
      </c>
      <c r="J202" s="388">
        <f t="shared" si="36"/>
        <v>0</v>
      </c>
      <c r="K202" s="389">
        <f t="shared" si="43"/>
        <v>0</v>
      </c>
      <c r="L202" s="394">
        <f t="shared" si="44"/>
        <v>4184</v>
      </c>
      <c r="M202" s="417">
        <f>Données!AE202</f>
        <v>0</v>
      </c>
      <c r="N202" s="394">
        <v>0</v>
      </c>
      <c r="O202" s="418">
        <f t="shared" si="37"/>
        <v>1728</v>
      </c>
      <c r="P202" s="394">
        <f t="shared" si="45"/>
        <v>4184</v>
      </c>
      <c r="Q202" s="419">
        <f t="shared" si="38"/>
        <v>53277.45789010563</v>
      </c>
      <c r="R202" s="394">
        <f t="shared" si="39"/>
        <v>116430.88494022457</v>
      </c>
      <c r="S202" s="393">
        <f t="shared" si="40"/>
        <v>105030.26372294371</v>
      </c>
      <c r="T202" s="418">
        <f t="shared" si="41"/>
        <v>0</v>
      </c>
      <c r="U202" s="422">
        <f t="shared" si="46"/>
        <v>274738.60655327392</v>
      </c>
    </row>
    <row r="203" spans="1:21" x14ac:dyDescent="0.25">
      <c r="A203" s="148">
        <f>Données!A203</f>
        <v>5730</v>
      </c>
      <c r="B203" s="149" t="str">
        <f>Données!B203</f>
        <v>Trélex</v>
      </c>
      <c r="C203" s="392">
        <f>Données!C203</f>
        <v>1428</v>
      </c>
      <c r="D203" s="379">
        <f t="shared" si="42"/>
        <v>1000</v>
      </c>
      <c r="E203" s="379">
        <f t="shared" si="36"/>
        <v>428</v>
      </c>
      <c r="F203" s="388">
        <f t="shared" si="36"/>
        <v>0</v>
      </c>
      <c r="G203" s="378">
        <f t="shared" si="36"/>
        <v>0</v>
      </c>
      <c r="H203" s="379">
        <f t="shared" si="36"/>
        <v>0</v>
      </c>
      <c r="I203" s="388">
        <f t="shared" si="36"/>
        <v>0</v>
      </c>
      <c r="J203" s="388">
        <f t="shared" si="36"/>
        <v>0</v>
      </c>
      <c r="K203" s="389">
        <f t="shared" si="43"/>
        <v>0</v>
      </c>
      <c r="L203" s="394">
        <f t="shared" si="44"/>
        <v>3284</v>
      </c>
      <c r="M203" s="417">
        <f>Données!AE203</f>
        <v>0</v>
      </c>
      <c r="N203" s="394">
        <v>0</v>
      </c>
      <c r="O203" s="418">
        <f t="shared" si="37"/>
        <v>1428</v>
      </c>
      <c r="P203" s="394">
        <f t="shared" si="45"/>
        <v>3284</v>
      </c>
      <c r="Q203" s="419">
        <f t="shared" si="38"/>
        <v>44027.899228628958</v>
      </c>
      <c r="R203" s="394">
        <f t="shared" si="39"/>
        <v>96217.189638102253</v>
      </c>
      <c r="S203" s="393">
        <f t="shared" si="40"/>
        <v>82437.711774891766</v>
      </c>
      <c r="T203" s="418">
        <f t="shared" si="41"/>
        <v>0</v>
      </c>
      <c r="U203" s="422">
        <f t="shared" si="46"/>
        <v>222682.80064162298</v>
      </c>
    </row>
    <row r="204" spans="1:21" x14ac:dyDescent="0.25">
      <c r="A204" s="148">
        <f>Données!A204</f>
        <v>5731</v>
      </c>
      <c r="B204" s="149" t="str">
        <f>Données!B204</f>
        <v>Le Vaud</v>
      </c>
      <c r="C204" s="392">
        <f>Données!C204</f>
        <v>1374</v>
      </c>
      <c r="D204" s="379">
        <f t="shared" si="42"/>
        <v>1000</v>
      </c>
      <c r="E204" s="379">
        <f t="shared" si="36"/>
        <v>374</v>
      </c>
      <c r="F204" s="388">
        <f t="shared" si="36"/>
        <v>0</v>
      </c>
      <c r="G204" s="378">
        <f t="shared" si="36"/>
        <v>0</v>
      </c>
      <c r="H204" s="379">
        <f t="shared" si="36"/>
        <v>0</v>
      </c>
      <c r="I204" s="388">
        <f t="shared" si="36"/>
        <v>0</v>
      </c>
      <c r="J204" s="388">
        <f t="shared" si="36"/>
        <v>0</v>
      </c>
      <c r="K204" s="389">
        <f t="shared" si="43"/>
        <v>0</v>
      </c>
      <c r="L204" s="394">
        <f t="shared" si="44"/>
        <v>3122</v>
      </c>
      <c r="M204" s="417">
        <f>Données!AE204</f>
        <v>0</v>
      </c>
      <c r="N204" s="394">
        <v>0</v>
      </c>
      <c r="O204" s="418">
        <f t="shared" si="37"/>
        <v>1374</v>
      </c>
      <c r="P204" s="394">
        <f t="shared" si="45"/>
        <v>3122</v>
      </c>
      <c r="Q204" s="419">
        <f t="shared" si="38"/>
        <v>42362.978669563156</v>
      </c>
      <c r="R204" s="394">
        <f t="shared" si="39"/>
        <v>92578.724483720231</v>
      </c>
      <c r="S204" s="393">
        <f t="shared" si="40"/>
        <v>78371.052424242414</v>
      </c>
      <c r="T204" s="418">
        <f t="shared" si="41"/>
        <v>0</v>
      </c>
      <c r="U204" s="422">
        <f t="shared" si="46"/>
        <v>213312.75557752582</v>
      </c>
    </row>
    <row r="205" spans="1:21" x14ac:dyDescent="0.25">
      <c r="A205" s="148">
        <f>Données!A205</f>
        <v>5732</v>
      </c>
      <c r="B205" s="149" t="str">
        <f>Données!B205</f>
        <v>Vich</v>
      </c>
      <c r="C205" s="392">
        <f>Données!C205</f>
        <v>1179</v>
      </c>
      <c r="D205" s="379">
        <f t="shared" si="42"/>
        <v>1000</v>
      </c>
      <c r="E205" s="379">
        <f t="shared" si="36"/>
        <v>179</v>
      </c>
      <c r="F205" s="388">
        <f t="shared" si="36"/>
        <v>0</v>
      </c>
      <c r="G205" s="378">
        <f t="shared" si="36"/>
        <v>0</v>
      </c>
      <c r="H205" s="379">
        <f t="shared" si="36"/>
        <v>0</v>
      </c>
      <c r="I205" s="388">
        <f t="shared" si="36"/>
        <v>0</v>
      </c>
      <c r="J205" s="388">
        <f t="shared" si="36"/>
        <v>0</v>
      </c>
      <c r="K205" s="389">
        <f t="shared" si="43"/>
        <v>0</v>
      </c>
      <c r="L205" s="394">
        <f t="shared" si="44"/>
        <v>2537</v>
      </c>
      <c r="M205" s="417">
        <f>Données!AE205</f>
        <v>0</v>
      </c>
      <c r="N205" s="394">
        <v>0</v>
      </c>
      <c r="O205" s="418">
        <f t="shared" si="37"/>
        <v>1179</v>
      </c>
      <c r="P205" s="394">
        <f t="shared" si="45"/>
        <v>2537</v>
      </c>
      <c r="Q205" s="419">
        <f t="shared" si="38"/>
        <v>36350.765539603322</v>
      </c>
      <c r="R205" s="394">
        <f t="shared" si="39"/>
        <v>79439.822537340719</v>
      </c>
      <c r="S205" s="393">
        <f t="shared" si="40"/>
        <v>63685.893658008652</v>
      </c>
      <c r="T205" s="418">
        <f t="shared" si="41"/>
        <v>0</v>
      </c>
      <c r="U205" s="422">
        <f t="shared" si="46"/>
        <v>179476.48173495269</v>
      </c>
    </row>
    <row r="206" spans="1:21" x14ac:dyDescent="0.25">
      <c r="A206" s="148">
        <f>Données!A206</f>
        <v>5741</v>
      </c>
      <c r="B206" s="149" t="str">
        <f>Données!B206</f>
        <v>L'Abergement</v>
      </c>
      <c r="C206" s="392">
        <f>Données!C206</f>
        <v>270</v>
      </c>
      <c r="D206" s="379">
        <f t="shared" si="42"/>
        <v>270</v>
      </c>
      <c r="E206" s="379">
        <f t="shared" si="36"/>
        <v>0</v>
      </c>
      <c r="F206" s="388">
        <f t="shared" si="36"/>
        <v>0</v>
      </c>
      <c r="G206" s="378">
        <f t="shared" si="36"/>
        <v>0</v>
      </c>
      <c r="H206" s="379">
        <f t="shared" si="36"/>
        <v>0</v>
      </c>
      <c r="I206" s="388">
        <f t="shared" si="36"/>
        <v>0</v>
      </c>
      <c r="J206" s="388">
        <f t="shared" si="36"/>
        <v>0</v>
      </c>
      <c r="K206" s="389">
        <f t="shared" si="43"/>
        <v>0</v>
      </c>
      <c r="L206" s="394">
        <f t="shared" si="44"/>
        <v>540</v>
      </c>
      <c r="M206" s="417">
        <f>Données!AE206</f>
        <v>0</v>
      </c>
      <c r="N206" s="394">
        <v>0</v>
      </c>
      <c r="O206" s="418">
        <f t="shared" si="37"/>
        <v>270</v>
      </c>
      <c r="P206" s="394">
        <f t="shared" si="45"/>
        <v>540</v>
      </c>
      <c r="Q206" s="419">
        <f t="shared" si="38"/>
        <v>8324.6027953290049</v>
      </c>
      <c r="R206" s="394">
        <f t="shared" si="39"/>
        <v>18192.325771910091</v>
      </c>
      <c r="S206" s="393">
        <f t="shared" si="40"/>
        <v>13555.531168831169</v>
      </c>
      <c r="T206" s="418">
        <f t="shared" si="41"/>
        <v>0</v>
      </c>
      <c r="U206" s="422">
        <f t="shared" si="46"/>
        <v>40072.459736070268</v>
      </c>
    </row>
    <row r="207" spans="1:21" x14ac:dyDescent="0.25">
      <c r="A207" s="148">
        <f>Données!A207</f>
        <v>5742</v>
      </c>
      <c r="B207" s="149" t="str">
        <f>Données!B207</f>
        <v>Agiez</v>
      </c>
      <c r="C207" s="392">
        <f>Données!C207</f>
        <v>373</v>
      </c>
      <c r="D207" s="379">
        <f t="shared" si="42"/>
        <v>373</v>
      </c>
      <c r="E207" s="379">
        <f t="shared" si="36"/>
        <v>0</v>
      </c>
      <c r="F207" s="388">
        <f t="shared" si="36"/>
        <v>0</v>
      </c>
      <c r="G207" s="378">
        <f t="shared" si="36"/>
        <v>0</v>
      </c>
      <c r="H207" s="379">
        <f t="shared" si="36"/>
        <v>0</v>
      </c>
      <c r="I207" s="388">
        <f t="shared" si="36"/>
        <v>0</v>
      </c>
      <c r="J207" s="388">
        <f t="shared" si="36"/>
        <v>0</v>
      </c>
      <c r="K207" s="389">
        <f t="shared" si="43"/>
        <v>0</v>
      </c>
      <c r="L207" s="394">
        <f t="shared" si="44"/>
        <v>746</v>
      </c>
      <c r="M207" s="417">
        <f>Données!AE207</f>
        <v>0</v>
      </c>
      <c r="N207" s="394">
        <v>0</v>
      </c>
      <c r="O207" s="418">
        <f t="shared" si="37"/>
        <v>373</v>
      </c>
      <c r="P207" s="394">
        <f t="shared" si="45"/>
        <v>746</v>
      </c>
      <c r="Q207" s="419">
        <f t="shared" si="38"/>
        <v>11500.284602435995</v>
      </c>
      <c r="R207" s="394">
        <f t="shared" si="39"/>
        <v>25132.361158972086</v>
      </c>
      <c r="S207" s="393">
        <f t="shared" si="40"/>
        <v>18726.715281385281</v>
      </c>
      <c r="T207" s="418">
        <f t="shared" si="41"/>
        <v>0</v>
      </c>
      <c r="U207" s="422">
        <f t="shared" si="46"/>
        <v>55359.36104279336</v>
      </c>
    </row>
    <row r="208" spans="1:21" x14ac:dyDescent="0.25">
      <c r="A208" s="148">
        <f>Données!A208</f>
        <v>5743</v>
      </c>
      <c r="B208" s="149" t="str">
        <f>Données!B208</f>
        <v>Arnex-sur-Orbe</v>
      </c>
      <c r="C208" s="392">
        <f>Données!C208</f>
        <v>697</v>
      </c>
      <c r="D208" s="379">
        <f t="shared" si="42"/>
        <v>697</v>
      </c>
      <c r="E208" s="379">
        <f t="shared" si="36"/>
        <v>0</v>
      </c>
      <c r="F208" s="388">
        <f t="shared" si="36"/>
        <v>0</v>
      </c>
      <c r="G208" s="378">
        <f t="shared" si="36"/>
        <v>0</v>
      </c>
      <c r="H208" s="379">
        <f t="shared" si="36"/>
        <v>0</v>
      </c>
      <c r="I208" s="388">
        <f t="shared" si="36"/>
        <v>0</v>
      </c>
      <c r="J208" s="388">
        <f t="shared" si="36"/>
        <v>0</v>
      </c>
      <c r="K208" s="389">
        <f t="shared" si="43"/>
        <v>0</v>
      </c>
      <c r="L208" s="394">
        <f t="shared" si="44"/>
        <v>1394</v>
      </c>
      <c r="M208" s="417">
        <f>Données!AE208</f>
        <v>0</v>
      </c>
      <c r="N208" s="394">
        <v>0</v>
      </c>
      <c r="O208" s="418">
        <f t="shared" si="37"/>
        <v>697</v>
      </c>
      <c r="P208" s="394">
        <f t="shared" si="45"/>
        <v>1394</v>
      </c>
      <c r="Q208" s="419">
        <f t="shared" si="38"/>
        <v>21489.807956830799</v>
      </c>
      <c r="R208" s="394">
        <f t="shared" si="39"/>
        <v>46963.152085264192</v>
      </c>
      <c r="S208" s="393">
        <f t="shared" si="40"/>
        <v>34993.352683982681</v>
      </c>
      <c r="T208" s="418">
        <f t="shared" si="41"/>
        <v>0</v>
      </c>
      <c r="U208" s="422">
        <f t="shared" si="46"/>
        <v>103446.31272607767</v>
      </c>
    </row>
    <row r="209" spans="1:21" x14ac:dyDescent="0.25">
      <c r="A209" s="148">
        <f>Données!A209</f>
        <v>5744</v>
      </c>
      <c r="B209" s="149" t="str">
        <f>Données!B209</f>
        <v>Ballaigues</v>
      </c>
      <c r="C209" s="392">
        <f>Données!C209</f>
        <v>1209</v>
      </c>
      <c r="D209" s="379">
        <f t="shared" si="42"/>
        <v>1000</v>
      </c>
      <c r="E209" s="379">
        <f t="shared" si="36"/>
        <v>209</v>
      </c>
      <c r="F209" s="388">
        <f t="shared" si="36"/>
        <v>0</v>
      </c>
      <c r="G209" s="378">
        <f t="shared" si="36"/>
        <v>0</v>
      </c>
      <c r="H209" s="379">
        <f t="shared" si="36"/>
        <v>0</v>
      </c>
      <c r="I209" s="388">
        <f t="shared" si="36"/>
        <v>0</v>
      </c>
      <c r="J209" s="388">
        <f t="shared" si="36"/>
        <v>0</v>
      </c>
      <c r="K209" s="389">
        <f t="shared" si="43"/>
        <v>0</v>
      </c>
      <c r="L209" s="394">
        <f t="shared" si="44"/>
        <v>2627</v>
      </c>
      <c r="M209" s="417">
        <f>Données!AE209</f>
        <v>0</v>
      </c>
      <c r="N209" s="394">
        <v>0</v>
      </c>
      <c r="O209" s="418">
        <f t="shared" si="37"/>
        <v>1209</v>
      </c>
      <c r="P209" s="394">
        <f t="shared" si="45"/>
        <v>2627</v>
      </c>
      <c r="Q209" s="419">
        <f t="shared" si="38"/>
        <v>37275.721405750985</v>
      </c>
      <c r="R209" s="394">
        <f t="shared" si="39"/>
        <v>81461.192067552955</v>
      </c>
      <c r="S209" s="393">
        <f t="shared" si="40"/>
        <v>65945.148852813843</v>
      </c>
      <c r="T209" s="418">
        <f t="shared" si="41"/>
        <v>0</v>
      </c>
      <c r="U209" s="422">
        <f t="shared" si="46"/>
        <v>184682.06232611777</v>
      </c>
    </row>
    <row r="210" spans="1:21" x14ac:dyDescent="0.25">
      <c r="A210" s="148">
        <f>Données!A210</f>
        <v>5745</v>
      </c>
      <c r="B210" s="149" t="str">
        <f>Données!B210</f>
        <v>Baulmes</v>
      </c>
      <c r="C210" s="392">
        <f>Données!C210</f>
        <v>1168</v>
      </c>
      <c r="D210" s="379">
        <f t="shared" si="42"/>
        <v>1000</v>
      </c>
      <c r="E210" s="379">
        <f t="shared" si="36"/>
        <v>168</v>
      </c>
      <c r="F210" s="388">
        <f t="shared" si="36"/>
        <v>0</v>
      </c>
      <c r="G210" s="378">
        <f t="shared" si="36"/>
        <v>0</v>
      </c>
      <c r="H210" s="379">
        <f t="shared" si="36"/>
        <v>0</v>
      </c>
      <c r="I210" s="388">
        <f t="shared" si="36"/>
        <v>0</v>
      </c>
      <c r="J210" s="388">
        <f t="shared" si="36"/>
        <v>0</v>
      </c>
      <c r="K210" s="389">
        <f t="shared" si="43"/>
        <v>0</v>
      </c>
      <c r="L210" s="394">
        <f t="shared" si="44"/>
        <v>2504</v>
      </c>
      <c r="M210" s="417">
        <f>Données!AE210</f>
        <v>0</v>
      </c>
      <c r="N210" s="394">
        <v>0</v>
      </c>
      <c r="O210" s="418">
        <f t="shared" si="37"/>
        <v>1168</v>
      </c>
      <c r="P210" s="394">
        <f t="shared" si="45"/>
        <v>2504</v>
      </c>
      <c r="Q210" s="419">
        <f t="shared" si="38"/>
        <v>36011.615055349175</v>
      </c>
      <c r="R210" s="394">
        <f t="shared" si="39"/>
        <v>78698.653709596241</v>
      </c>
      <c r="S210" s="393">
        <f t="shared" si="40"/>
        <v>62857.500086580083</v>
      </c>
      <c r="T210" s="418">
        <f t="shared" si="41"/>
        <v>0</v>
      </c>
      <c r="U210" s="422">
        <f t="shared" si="46"/>
        <v>177567.7688515255</v>
      </c>
    </row>
    <row r="211" spans="1:21" x14ac:dyDescent="0.25">
      <c r="A211" s="148">
        <f>Données!A211</f>
        <v>5746</v>
      </c>
      <c r="B211" s="149" t="str">
        <f>Données!B211</f>
        <v>Bavois</v>
      </c>
      <c r="C211" s="392">
        <f>Données!C211</f>
        <v>1041</v>
      </c>
      <c r="D211" s="379">
        <f t="shared" si="42"/>
        <v>1000</v>
      </c>
      <c r="E211" s="379">
        <f t="shared" si="36"/>
        <v>41</v>
      </c>
      <c r="F211" s="388">
        <f t="shared" si="36"/>
        <v>0</v>
      </c>
      <c r="G211" s="378">
        <f t="shared" si="36"/>
        <v>0</v>
      </c>
      <c r="H211" s="379">
        <f t="shared" si="36"/>
        <v>0</v>
      </c>
      <c r="I211" s="388">
        <f t="shared" si="36"/>
        <v>0</v>
      </c>
      <c r="J211" s="388">
        <f t="shared" si="36"/>
        <v>0</v>
      </c>
      <c r="K211" s="389">
        <f t="shared" si="43"/>
        <v>0</v>
      </c>
      <c r="L211" s="394">
        <f t="shared" si="44"/>
        <v>2123</v>
      </c>
      <c r="M211" s="417">
        <f>Données!AE211</f>
        <v>0</v>
      </c>
      <c r="N211" s="394">
        <v>0</v>
      </c>
      <c r="O211" s="418">
        <f t="shared" si="37"/>
        <v>1041</v>
      </c>
      <c r="P211" s="394">
        <f t="shared" si="45"/>
        <v>2123</v>
      </c>
      <c r="Q211" s="419">
        <f t="shared" si="38"/>
        <v>32095.968555324049</v>
      </c>
      <c r="R211" s="394">
        <f t="shared" si="39"/>
        <v>70141.522698364453</v>
      </c>
      <c r="S211" s="393">
        <f t="shared" si="40"/>
        <v>53293.319761904757</v>
      </c>
      <c r="T211" s="418">
        <f t="shared" si="41"/>
        <v>0</v>
      </c>
      <c r="U211" s="422">
        <f t="shared" si="46"/>
        <v>155530.81101559324</v>
      </c>
    </row>
    <row r="212" spans="1:21" x14ac:dyDescent="0.25">
      <c r="A212" s="148">
        <f>Données!A212</f>
        <v>5747</v>
      </c>
      <c r="B212" s="149" t="str">
        <f>Données!B212</f>
        <v>Bofflens</v>
      </c>
      <c r="C212" s="392">
        <f>Données!C212</f>
        <v>200</v>
      </c>
      <c r="D212" s="379">
        <f t="shared" si="42"/>
        <v>200</v>
      </c>
      <c r="E212" s="379">
        <f t="shared" si="36"/>
        <v>0</v>
      </c>
      <c r="F212" s="388">
        <f t="shared" si="36"/>
        <v>0</v>
      </c>
      <c r="G212" s="378">
        <f t="shared" si="36"/>
        <v>0</v>
      </c>
      <c r="H212" s="379">
        <f t="shared" si="36"/>
        <v>0</v>
      </c>
      <c r="I212" s="388">
        <f t="shared" si="36"/>
        <v>0</v>
      </c>
      <c r="J212" s="388">
        <f t="shared" si="36"/>
        <v>0</v>
      </c>
      <c r="K212" s="389">
        <f t="shared" si="43"/>
        <v>0</v>
      </c>
      <c r="L212" s="394">
        <f t="shared" si="44"/>
        <v>400</v>
      </c>
      <c r="M212" s="417">
        <f>Données!AE212</f>
        <v>0</v>
      </c>
      <c r="N212" s="394">
        <v>0</v>
      </c>
      <c r="O212" s="418">
        <f t="shared" si="37"/>
        <v>200</v>
      </c>
      <c r="P212" s="394">
        <f t="shared" si="45"/>
        <v>400</v>
      </c>
      <c r="Q212" s="419">
        <f t="shared" si="38"/>
        <v>6166.3724409844481</v>
      </c>
      <c r="R212" s="394">
        <f t="shared" si="39"/>
        <v>13475.796868081548</v>
      </c>
      <c r="S212" s="393">
        <f t="shared" si="40"/>
        <v>10041.134199134198</v>
      </c>
      <c r="T212" s="418">
        <f t="shared" si="41"/>
        <v>0</v>
      </c>
      <c r="U212" s="422">
        <f t="shared" si="46"/>
        <v>29683.303508200195</v>
      </c>
    </row>
    <row r="213" spans="1:21" x14ac:dyDescent="0.25">
      <c r="A213" s="148">
        <f>Données!A213</f>
        <v>5748</v>
      </c>
      <c r="B213" s="149" t="str">
        <f>Données!B213</f>
        <v>Bretonnières</v>
      </c>
      <c r="C213" s="392">
        <f>Données!C213</f>
        <v>261</v>
      </c>
      <c r="D213" s="379">
        <f t="shared" si="42"/>
        <v>261</v>
      </c>
      <c r="E213" s="379">
        <f t="shared" si="36"/>
        <v>0</v>
      </c>
      <c r="F213" s="388">
        <f t="shared" si="36"/>
        <v>0</v>
      </c>
      <c r="G213" s="378">
        <f t="shared" si="36"/>
        <v>0</v>
      </c>
      <c r="H213" s="379">
        <f t="shared" si="36"/>
        <v>0</v>
      </c>
      <c r="I213" s="388">
        <f t="shared" si="36"/>
        <v>0</v>
      </c>
      <c r="J213" s="388">
        <f t="shared" si="36"/>
        <v>0</v>
      </c>
      <c r="K213" s="389">
        <f t="shared" si="43"/>
        <v>0</v>
      </c>
      <c r="L213" s="394">
        <f t="shared" si="44"/>
        <v>522</v>
      </c>
      <c r="M213" s="417">
        <f>Données!AE213</f>
        <v>0</v>
      </c>
      <c r="N213" s="394">
        <v>0</v>
      </c>
      <c r="O213" s="418">
        <f t="shared" si="37"/>
        <v>261</v>
      </c>
      <c r="P213" s="394">
        <f t="shared" si="45"/>
        <v>522</v>
      </c>
      <c r="Q213" s="419">
        <f t="shared" si="38"/>
        <v>8047.1160354847043</v>
      </c>
      <c r="R213" s="394">
        <f t="shared" si="39"/>
        <v>17585.91491284642</v>
      </c>
      <c r="S213" s="393">
        <f t="shared" si="40"/>
        <v>13103.680129870128</v>
      </c>
      <c r="T213" s="418">
        <f t="shared" si="41"/>
        <v>0</v>
      </c>
      <c r="U213" s="422">
        <f t="shared" si="46"/>
        <v>38736.711078201253</v>
      </c>
    </row>
    <row r="214" spans="1:21" x14ac:dyDescent="0.25">
      <c r="A214" s="148">
        <f>Données!A214</f>
        <v>5749</v>
      </c>
      <c r="B214" s="149" t="str">
        <f>Données!B214</f>
        <v>Chavornay</v>
      </c>
      <c r="C214" s="392">
        <f>Données!C214</f>
        <v>5442</v>
      </c>
      <c r="D214" s="379">
        <f t="shared" si="42"/>
        <v>1000</v>
      </c>
      <c r="E214" s="379">
        <f t="shared" si="36"/>
        <v>2000</v>
      </c>
      <c r="F214" s="388">
        <f t="shared" si="36"/>
        <v>2000</v>
      </c>
      <c r="G214" s="378">
        <f t="shared" si="36"/>
        <v>442</v>
      </c>
      <c r="H214" s="379">
        <f t="shared" si="36"/>
        <v>0</v>
      </c>
      <c r="I214" s="388">
        <f t="shared" si="36"/>
        <v>0</v>
      </c>
      <c r="J214" s="388">
        <f t="shared" si="36"/>
        <v>0</v>
      </c>
      <c r="K214" s="389">
        <f t="shared" si="43"/>
        <v>0</v>
      </c>
      <c r="L214" s="394">
        <f t="shared" si="44"/>
        <v>16768</v>
      </c>
      <c r="M214" s="417">
        <f>Données!AE214</f>
        <v>0</v>
      </c>
      <c r="N214" s="394">
        <v>0</v>
      </c>
      <c r="O214" s="418">
        <f t="shared" si="37"/>
        <v>5442</v>
      </c>
      <c r="P214" s="394">
        <f t="shared" si="45"/>
        <v>16768</v>
      </c>
      <c r="Q214" s="419">
        <f t="shared" si="38"/>
        <v>167786.99411918683</v>
      </c>
      <c r="R214" s="394">
        <f t="shared" si="39"/>
        <v>366676.43278049893</v>
      </c>
      <c r="S214" s="393">
        <f t="shared" si="40"/>
        <v>420924.34562770562</v>
      </c>
      <c r="T214" s="418">
        <f t="shared" si="41"/>
        <v>0</v>
      </c>
      <c r="U214" s="422">
        <f t="shared" si="46"/>
        <v>955387.77252739132</v>
      </c>
    </row>
    <row r="215" spans="1:21" x14ac:dyDescent="0.25">
      <c r="A215" s="148">
        <f>Données!A215</f>
        <v>5750</v>
      </c>
      <c r="B215" s="149" t="str">
        <f>Données!B215</f>
        <v>Les Clées</v>
      </c>
      <c r="C215" s="392">
        <f>Données!C215</f>
        <v>194</v>
      </c>
      <c r="D215" s="379">
        <f t="shared" si="42"/>
        <v>194</v>
      </c>
      <c r="E215" s="379">
        <f t="shared" si="36"/>
        <v>0</v>
      </c>
      <c r="F215" s="388">
        <f t="shared" si="36"/>
        <v>0</v>
      </c>
      <c r="G215" s="378">
        <f t="shared" si="36"/>
        <v>0</v>
      </c>
      <c r="H215" s="379">
        <f t="shared" si="36"/>
        <v>0</v>
      </c>
      <c r="I215" s="388">
        <f t="shared" si="36"/>
        <v>0</v>
      </c>
      <c r="J215" s="388">
        <f t="shared" si="36"/>
        <v>0</v>
      </c>
      <c r="K215" s="389">
        <f t="shared" si="43"/>
        <v>0</v>
      </c>
      <c r="L215" s="394">
        <f t="shared" si="44"/>
        <v>388</v>
      </c>
      <c r="M215" s="417">
        <f>Données!AE215</f>
        <v>0</v>
      </c>
      <c r="N215" s="394">
        <v>0</v>
      </c>
      <c r="O215" s="418">
        <f t="shared" si="37"/>
        <v>194</v>
      </c>
      <c r="P215" s="394">
        <f t="shared" si="45"/>
        <v>388</v>
      </c>
      <c r="Q215" s="419">
        <f t="shared" si="38"/>
        <v>5981.381267754914</v>
      </c>
      <c r="R215" s="394">
        <f t="shared" si="39"/>
        <v>13071.522962039102</v>
      </c>
      <c r="S215" s="393">
        <f t="shared" si="40"/>
        <v>9739.9001731601729</v>
      </c>
      <c r="T215" s="418">
        <f t="shared" si="41"/>
        <v>0</v>
      </c>
      <c r="U215" s="422">
        <f t="shared" si="46"/>
        <v>28792.804402954192</v>
      </c>
    </row>
    <row r="216" spans="1:21" x14ac:dyDescent="0.25">
      <c r="A216" s="148">
        <f>Données!A216</f>
        <v>5752</v>
      </c>
      <c r="B216" s="149" t="str">
        <f>Données!B216</f>
        <v>Croy</v>
      </c>
      <c r="C216" s="392">
        <f>Données!C216</f>
        <v>403</v>
      </c>
      <c r="D216" s="379">
        <f t="shared" si="42"/>
        <v>403</v>
      </c>
      <c r="E216" s="379">
        <f t="shared" si="36"/>
        <v>0</v>
      </c>
      <c r="F216" s="388">
        <f t="shared" si="36"/>
        <v>0</v>
      </c>
      <c r="G216" s="378">
        <f t="shared" si="36"/>
        <v>0</v>
      </c>
      <c r="H216" s="379">
        <f t="shared" si="36"/>
        <v>0</v>
      </c>
      <c r="I216" s="388">
        <f t="shared" si="36"/>
        <v>0</v>
      </c>
      <c r="J216" s="388">
        <f t="shared" si="36"/>
        <v>0</v>
      </c>
      <c r="K216" s="389">
        <f t="shared" si="43"/>
        <v>0</v>
      </c>
      <c r="L216" s="394">
        <f t="shared" si="44"/>
        <v>806</v>
      </c>
      <c r="M216" s="417">
        <f>Données!AE216</f>
        <v>0</v>
      </c>
      <c r="N216" s="394">
        <v>0</v>
      </c>
      <c r="O216" s="418">
        <f t="shared" si="37"/>
        <v>403</v>
      </c>
      <c r="P216" s="394">
        <f t="shared" si="45"/>
        <v>806</v>
      </c>
      <c r="Q216" s="419">
        <f t="shared" si="38"/>
        <v>12425.240468583663</v>
      </c>
      <c r="R216" s="394">
        <f t="shared" si="39"/>
        <v>27153.730689184318</v>
      </c>
      <c r="S216" s="393">
        <f t="shared" si="40"/>
        <v>20232.885411255411</v>
      </c>
      <c r="T216" s="418">
        <f t="shared" si="41"/>
        <v>0</v>
      </c>
      <c r="U216" s="422">
        <f t="shared" si="46"/>
        <v>59811.856569023395</v>
      </c>
    </row>
    <row r="217" spans="1:21" x14ac:dyDescent="0.25">
      <c r="A217" s="148">
        <f>Données!A217</f>
        <v>5754</v>
      </c>
      <c r="B217" s="149" t="str">
        <f>Données!B217</f>
        <v>Juriens</v>
      </c>
      <c r="C217" s="392">
        <f>Données!C217</f>
        <v>348</v>
      </c>
      <c r="D217" s="379">
        <f t="shared" si="42"/>
        <v>348</v>
      </c>
      <c r="E217" s="379">
        <f t="shared" si="36"/>
        <v>0</v>
      </c>
      <c r="F217" s="388">
        <f t="shared" si="36"/>
        <v>0</v>
      </c>
      <c r="G217" s="378">
        <f t="shared" si="36"/>
        <v>0</v>
      </c>
      <c r="H217" s="379">
        <f t="shared" si="36"/>
        <v>0</v>
      </c>
      <c r="I217" s="388">
        <f t="shared" si="36"/>
        <v>0</v>
      </c>
      <c r="J217" s="388">
        <f t="shared" si="36"/>
        <v>0</v>
      </c>
      <c r="K217" s="389">
        <f t="shared" si="43"/>
        <v>0</v>
      </c>
      <c r="L217" s="394">
        <f t="shared" si="44"/>
        <v>696</v>
      </c>
      <c r="M217" s="417">
        <f>Données!AE217</f>
        <v>0</v>
      </c>
      <c r="N217" s="394">
        <v>0</v>
      </c>
      <c r="O217" s="418">
        <f t="shared" si="37"/>
        <v>348</v>
      </c>
      <c r="P217" s="394">
        <f t="shared" si="45"/>
        <v>696</v>
      </c>
      <c r="Q217" s="419">
        <f t="shared" si="38"/>
        <v>10729.48804731294</v>
      </c>
      <c r="R217" s="394">
        <f t="shared" si="39"/>
        <v>23447.886550461895</v>
      </c>
      <c r="S217" s="393">
        <f t="shared" si="40"/>
        <v>17471.573506493507</v>
      </c>
      <c r="T217" s="418">
        <f t="shared" si="41"/>
        <v>0</v>
      </c>
      <c r="U217" s="422">
        <f t="shared" si="46"/>
        <v>51648.94810426834</v>
      </c>
    </row>
    <row r="218" spans="1:21" x14ac:dyDescent="0.25">
      <c r="A218" s="148">
        <f>Données!A218</f>
        <v>5755</v>
      </c>
      <c r="B218" s="149" t="str">
        <f>Données!B218</f>
        <v>Lignerolle</v>
      </c>
      <c r="C218" s="392">
        <f>Données!C218</f>
        <v>463</v>
      </c>
      <c r="D218" s="379">
        <f t="shared" si="42"/>
        <v>463</v>
      </c>
      <c r="E218" s="379">
        <f t="shared" si="36"/>
        <v>0</v>
      </c>
      <c r="F218" s="388">
        <f t="shared" si="36"/>
        <v>0</v>
      </c>
      <c r="G218" s="378">
        <f t="shared" si="36"/>
        <v>0</v>
      </c>
      <c r="H218" s="379">
        <f t="shared" si="36"/>
        <v>0</v>
      </c>
      <c r="I218" s="388">
        <f t="shared" si="36"/>
        <v>0</v>
      </c>
      <c r="J218" s="388">
        <f t="shared" si="36"/>
        <v>0</v>
      </c>
      <c r="K218" s="389">
        <f t="shared" si="43"/>
        <v>0</v>
      </c>
      <c r="L218" s="394">
        <f t="shared" si="44"/>
        <v>926</v>
      </c>
      <c r="M218" s="417">
        <f>Données!AE218</f>
        <v>0</v>
      </c>
      <c r="N218" s="394">
        <v>0</v>
      </c>
      <c r="O218" s="418">
        <f t="shared" si="37"/>
        <v>463</v>
      </c>
      <c r="P218" s="394">
        <f t="shared" si="45"/>
        <v>926</v>
      </c>
      <c r="Q218" s="419">
        <f t="shared" si="38"/>
        <v>14275.152200878996</v>
      </c>
      <c r="R218" s="394">
        <f t="shared" si="39"/>
        <v>31196.469749608783</v>
      </c>
      <c r="S218" s="393">
        <f t="shared" si="40"/>
        <v>23245.225670995671</v>
      </c>
      <c r="T218" s="418">
        <f t="shared" si="41"/>
        <v>0</v>
      </c>
      <c r="U218" s="422">
        <f t="shared" si="46"/>
        <v>68716.847621483452</v>
      </c>
    </row>
    <row r="219" spans="1:21" x14ac:dyDescent="0.25">
      <c r="A219" s="148">
        <f>Données!A219</f>
        <v>5756</v>
      </c>
      <c r="B219" s="149" t="str">
        <f>Données!B219</f>
        <v>Montcherand</v>
      </c>
      <c r="C219" s="392">
        <f>Données!C219</f>
        <v>489</v>
      </c>
      <c r="D219" s="379">
        <f t="shared" si="42"/>
        <v>489</v>
      </c>
      <c r="E219" s="379">
        <f t="shared" si="36"/>
        <v>0</v>
      </c>
      <c r="F219" s="388">
        <f t="shared" si="36"/>
        <v>0</v>
      </c>
      <c r="G219" s="378">
        <f t="shared" si="36"/>
        <v>0</v>
      </c>
      <c r="H219" s="379">
        <f t="shared" si="36"/>
        <v>0</v>
      </c>
      <c r="I219" s="388">
        <f t="shared" si="36"/>
        <v>0</v>
      </c>
      <c r="J219" s="388">
        <f t="shared" si="36"/>
        <v>0</v>
      </c>
      <c r="K219" s="389">
        <f t="shared" si="43"/>
        <v>0</v>
      </c>
      <c r="L219" s="394">
        <f t="shared" si="44"/>
        <v>978</v>
      </c>
      <c r="M219" s="417">
        <f>Données!AE219</f>
        <v>0</v>
      </c>
      <c r="N219" s="394">
        <v>0</v>
      </c>
      <c r="O219" s="418">
        <f t="shared" si="37"/>
        <v>489</v>
      </c>
      <c r="P219" s="394">
        <f t="shared" si="45"/>
        <v>978</v>
      </c>
      <c r="Q219" s="419">
        <f t="shared" si="38"/>
        <v>15076.780618206974</v>
      </c>
      <c r="R219" s="394">
        <f t="shared" si="39"/>
        <v>32948.323342459385</v>
      </c>
      <c r="S219" s="393">
        <f t="shared" si="40"/>
        <v>24550.573116883115</v>
      </c>
      <c r="T219" s="418">
        <f t="shared" si="41"/>
        <v>0</v>
      </c>
      <c r="U219" s="422">
        <f t="shared" si="46"/>
        <v>72575.677077549481</v>
      </c>
    </row>
    <row r="220" spans="1:21" x14ac:dyDescent="0.25">
      <c r="A220" s="148">
        <f>Données!A220</f>
        <v>5757</v>
      </c>
      <c r="B220" s="149" t="str">
        <f>Données!B220</f>
        <v>Orbe</v>
      </c>
      <c r="C220" s="392">
        <f>Données!C220</f>
        <v>7962</v>
      </c>
      <c r="D220" s="379">
        <f t="shared" si="42"/>
        <v>1000</v>
      </c>
      <c r="E220" s="379">
        <f t="shared" si="36"/>
        <v>2000</v>
      </c>
      <c r="F220" s="388">
        <f t="shared" si="36"/>
        <v>2000</v>
      </c>
      <c r="G220" s="378">
        <f t="shared" si="36"/>
        <v>2962</v>
      </c>
      <c r="H220" s="379">
        <f t="shared" si="36"/>
        <v>0</v>
      </c>
      <c r="I220" s="388">
        <f t="shared" si="36"/>
        <v>0</v>
      </c>
      <c r="J220" s="388">
        <f t="shared" si="36"/>
        <v>0</v>
      </c>
      <c r="K220" s="389">
        <f t="shared" si="43"/>
        <v>0</v>
      </c>
      <c r="L220" s="394">
        <f t="shared" si="44"/>
        <v>26848</v>
      </c>
      <c r="M220" s="417">
        <f>Données!AE220</f>
        <v>0</v>
      </c>
      <c r="N220" s="394">
        <v>0</v>
      </c>
      <c r="O220" s="418">
        <f t="shared" si="37"/>
        <v>7962</v>
      </c>
      <c r="P220" s="394">
        <f t="shared" si="45"/>
        <v>26848</v>
      </c>
      <c r="Q220" s="419">
        <f t="shared" si="38"/>
        <v>245483.28687559086</v>
      </c>
      <c r="R220" s="394">
        <f t="shared" si="39"/>
        <v>536471.4733183264</v>
      </c>
      <c r="S220" s="393">
        <f t="shared" si="40"/>
        <v>673960.92744588736</v>
      </c>
      <c r="T220" s="418">
        <f t="shared" si="41"/>
        <v>0</v>
      </c>
      <c r="U220" s="422">
        <f t="shared" si="46"/>
        <v>1455915.6876398046</v>
      </c>
    </row>
    <row r="221" spans="1:21" x14ac:dyDescent="0.25">
      <c r="A221" s="148">
        <f>Données!A221</f>
        <v>5758</v>
      </c>
      <c r="B221" s="149" t="str">
        <f>Données!B221</f>
        <v>La Praz</v>
      </c>
      <c r="C221" s="392">
        <f>Données!C221</f>
        <v>207</v>
      </c>
      <c r="D221" s="379">
        <f t="shared" si="42"/>
        <v>207</v>
      </c>
      <c r="E221" s="379">
        <f t="shared" si="36"/>
        <v>0</v>
      </c>
      <c r="F221" s="388">
        <f t="shared" si="36"/>
        <v>0</v>
      </c>
      <c r="G221" s="378">
        <f t="shared" si="36"/>
        <v>0</v>
      </c>
      <c r="H221" s="379">
        <f t="shared" si="36"/>
        <v>0</v>
      </c>
      <c r="I221" s="388">
        <f t="shared" si="36"/>
        <v>0</v>
      </c>
      <c r="J221" s="388">
        <f t="shared" si="36"/>
        <v>0</v>
      </c>
      <c r="K221" s="389">
        <f t="shared" si="43"/>
        <v>0</v>
      </c>
      <c r="L221" s="394">
        <f t="shared" si="44"/>
        <v>414</v>
      </c>
      <c r="M221" s="417">
        <f>Données!AE221</f>
        <v>0</v>
      </c>
      <c r="N221" s="394">
        <v>0</v>
      </c>
      <c r="O221" s="418">
        <f t="shared" si="37"/>
        <v>207</v>
      </c>
      <c r="P221" s="394">
        <f t="shared" si="45"/>
        <v>414</v>
      </c>
      <c r="Q221" s="419">
        <f t="shared" si="38"/>
        <v>6382.1954764189031</v>
      </c>
      <c r="R221" s="394">
        <f t="shared" si="39"/>
        <v>13947.449758464401</v>
      </c>
      <c r="S221" s="393">
        <f t="shared" si="40"/>
        <v>10392.573896103895</v>
      </c>
      <c r="T221" s="418">
        <f t="shared" si="41"/>
        <v>0</v>
      </c>
      <c r="U221" s="422">
        <f t="shared" si="46"/>
        <v>30722.2191309872</v>
      </c>
    </row>
    <row r="222" spans="1:21" x14ac:dyDescent="0.25">
      <c r="A222" s="148">
        <f>Données!A222</f>
        <v>5759</v>
      </c>
      <c r="B222" s="149" t="str">
        <f>Données!B222</f>
        <v>Premier</v>
      </c>
      <c r="C222" s="392">
        <f>Données!C222</f>
        <v>228</v>
      </c>
      <c r="D222" s="379">
        <f t="shared" si="42"/>
        <v>228</v>
      </c>
      <c r="E222" s="379">
        <f t="shared" si="36"/>
        <v>0</v>
      </c>
      <c r="F222" s="388">
        <f t="shared" si="36"/>
        <v>0</v>
      </c>
      <c r="G222" s="378">
        <f t="shared" si="36"/>
        <v>0</v>
      </c>
      <c r="H222" s="379">
        <f t="shared" si="36"/>
        <v>0</v>
      </c>
      <c r="I222" s="388">
        <f t="shared" si="36"/>
        <v>0</v>
      </c>
      <c r="J222" s="388">
        <f t="shared" si="36"/>
        <v>0</v>
      </c>
      <c r="K222" s="389">
        <f t="shared" si="43"/>
        <v>0</v>
      </c>
      <c r="L222" s="394">
        <f t="shared" si="44"/>
        <v>456</v>
      </c>
      <c r="M222" s="417">
        <f>Données!AE222</f>
        <v>0</v>
      </c>
      <c r="N222" s="394">
        <v>0</v>
      </c>
      <c r="O222" s="418">
        <f t="shared" si="37"/>
        <v>228</v>
      </c>
      <c r="P222" s="394">
        <f t="shared" si="45"/>
        <v>456</v>
      </c>
      <c r="Q222" s="419">
        <f t="shared" si="38"/>
        <v>7029.6645827222701</v>
      </c>
      <c r="R222" s="394">
        <f t="shared" si="39"/>
        <v>15362.408429612964</v>
      </c>
      <c r="S222" s="393">
        <f t="shared" si="40"/>
        <v>11446.892987012987</v>
      </c>
      <c r="T222" s="418">
        <f t="shared" si="41"/>
        <v>0</v>
      </c>
      <c r="U222" s="422">
        <f t="shared" si="46"/>
        <v>33838.96599934822</v>
      </c>
    </row>
    <row r="223" spans="1:21" x14ac:dyDescent="0.25">
      <c r="A223" s="148">
        <f>Données!A223</f>
        <v>5760</v>
      </c>
      <c r="B223" s="149" t="str">
        <f>Données!B223</f>
        <v>Rances</v>
      </c>
      <c r="C223" s="392">
        <f>Données!C223</f>
        <v>508</v>
      </c>
      <c r="D223" s="379">
        <f t="shared" si="42"/>
        <v>508</v>
      </c>
      <c r="E223" s="379">
        <f t="shared" si="36"/>
        <v>0</v>
      </c>
      <c r="F223" s="388">
        <f t="shared" si="36"/>
        <v>0</v>
      </c>
      <c r="G223" s="378">
        <f t="shared" si="36"/>
        <v>0</v>
      </c>
      <c r="H223" s="379">
        <f t="shared" si="36"/>
        <v>0</v>
      </c>
      <c r="I223" s="388">
        <f t="shared" si="36"/>
        <v>0</v>
      </c>
      <c r="J223" s="388">
        <f t="shared" si="36"/>
        <v>0</v>
      </c>
      <c r="K223" s="389">
        <f t="shared" si="43"/>
        <v>0</v>
      </c>
      <c r="L223" s="394">
        <f t="shared" si="44"/>
        <v>1016</v>
      </c>
      <c r="M223" s="417">
        <f>Données!AE223</f>
        <v>0</v>
      </c>
      <c r="N223" s="394">
        <v>0</v>
      </c>
      <c r="O223" s="418">
        <f t="shared" si="37"/>
        <v>508</v>
      </c>
      <c r="P223" s="394">
        <f t="shared" si="45"/>
        <v>1016</v>
      </c>
      <c r="Q223" s="419">
        <f t="shared" si="38"/>
        <v>15662.586000100497</v>
      </c>
      <c r="R223" s="394">
        <f t="shared" si="39"/>
        <v>34228.52404492713</v>
      </c>
      <c r="S223" s="393">
        <f t="shared" si="40"/>
        <v>25504.480865800862</v>
      </c>
      <c r="T223" s="418">
        <f t="shared" si="41"/>
        <v>0</v>
      </c>
      <c r="U223" s="422">
        <f t="shared" si="46"/>
        <v>75395.590910828498</v>
      </c>
    </row>
    <row r="224" spans="1:21" x14ac:dyDescent="0.25">
      <c r="A224" s="148">
        <f>Données!A224</f>
        <v>5761</v>
      </c>
      <c r="B224" s="149" t="str">
        <f>Données!B224</f>
        <v>Romainmôtier-Envy</v>
      </c>
      <c r="C224" s="392">
        <f>Données!C224</f>
        <v>560</v>
      </c>
      <c r="D224" s="379">
        <f t="shared" si="42"/>
        <v>560</v>
      </c>
      <c r="E224" s="379">
        <f t="shared" si="36"/>
        <v>0</v>
      </c>
      <c r="F224" s="388">
        <f t="shared" si="36"/>
        <v>0</v>
      </c>
      <c r="G224" s="378">
        <f t="shared" si="36"/>
        <v>0</v>
      </c>
      <c r="H224" s="379">
        <f t="shared" si="36"/>
        <v>0</v>
      </c>
      <c r="I224" s="388">
        <f t="shared" si="36"/>
        <v>0</v>
      </c>
      <c r="J224" s="388">
        <f t="shared" si="36"/>
        <v>0</v>
      </c>
      <c r="K224" s="389">
        <f t="shared" si="43"/>
        <v>0</v>
      </c>
      <c r="L224" s="394">
        <f t="shared" si="44"/>
        <v>1120</v>
      </c>
      <c r="M224" s="417">
        <f>Données!AE224</f>
        <v>0</v>
      </c>
      <c r="N224" s="394">
        <v>0</v>
      </c>
      <c r="O224" s="418">
        <f t="shared" si="37"/>
        <v>560</v>
      </c>
      <c r="P224" s="394">
        <f t="shared" si="45"/>
        <v>1120</v>
      </c>
      <c r="Q224" s="419">
        <f t="shared" si="38"/>
        <v>17265.842834756455</v>
      </c>
      <c r="R224" s="394">
        <f t="shared" si="39"/>
        <v>37732.231230628335</v>
      </c>
      <c r="S224" s="393">
        <f t="shared" si="40"/>
        <v>28115.175757575755</v>
      </c>
      <c r="T224" s="418">
        <f t="shared" si="41"/>
        <v>0</v>
      </c>
      <c r="U224" s="422">
        <f t="shared" si="46"/>
        <v>83113.249822960541</v>
      </c>
    </row>
    <row r="225" spans="1:21" x14ac:dyDescent="0.25">
      <c r="A225" s="148">
        <f>Données!A225</f>
        <v>5762</v>
      </c>
      <c r="B225" s="149" t="str">
        <f>Données!B225</f>
        <v>Sergey</v>
      </c>
      <c r="C225" s="392">
        <f>Données!C225</f>
        <v>133</v>
      </c>
      <c r="D225" s="379">
        <f t="shared" si="42"/>
        <v>133</v>
      </c>
      <c r="E225" s="379">
        <f t="shared" si="36"/>
        <v>0</v>
      </c>
      <c r="F225" s="388">
        <f t="shared" si="36"/>
        <v>0</v>
      </c>
      <c r="G225" s="378">
        <f t="shared" si="36"/>
        <v>0</v>
      </c>
      <c r="H225" s="379">
        <f t="shared" si="36"/>
        <v>0</v>
      </c>
      <c r="I225" s="388">
        <f t="shared" si="36"/>
        <v>0</v>
      </c>
      <c r="J225" s="388">
        <f t="shared" si="36"/>
        <v>0</v>
      </c>
      <c r="K225" s="389">
        <f t="shared" si="43"/>
        <v>0</v>
      </c>
      <c r="L225" s="394">
        <f t="shared" si="44"/>
        <v>266</v>
      </c>
      <c r="M225" s="417">
        <f>Données!AE225</f>
        <v>0</v>
      </c>
      <c r="N225" s="394">
        <v>0</v>
      </c>
      <c r="O225" s="418">
        <f t="shared" si="37"/>
        <v>133</v>
      </c>
      <c r="P225" s="394">
        <f t="shared" si="45"/>
        <v>266</v>
      </c>
      <c r="Q225" s="419">
        <f t="shared" si="38"/>
        <v>4100.6376732546578</v>
      </c>
      <c r="R225" s="394">
        <f t="shared" si="39"/>
        <v>8961.4049172742289</v>
      </c>
      <c r="S225" s="393">
        <f t="shared" si="40"/>
        <v>6677.3542424242423</v>
      </c>
      <c r="T225" s="418">
        <f t="shared" si="41"/>
        <v>0</v>
      </c>
      <c r="U225" s="422">
        <f t="shared" si="46"/>
        <v>19739.396832953127</v>
      </c>
    </row>
    <row r="226" spans="1:21" x14ac:dyDescent="0.25">
      <c r="A226" s="148">
        <f>Données!A226</f>
        <v>5763</v>
      </c>
      <c r="B226" s="149" t="str">
        <f>Données!B226</f>
        <v>Valeyres-sous-Rances</v>
      </c>
      <c r="C226" s="392">
        <f>Données!C226</f>
        <v>583</v>
      </c>
      <c r="D226" s="379">
        <f t="shared" si="42"/>
        <v>583</v>
      </c>
      <c r="E226" s="379">
        <f t="shared" si="36"/>
        <v>0</v>
      </c>
      <c r="F226" s="388">
        <f t="shared" si="36"/>
        <v>0</v>
      </c>
      <c r="G226" s="378">
        <f t="shared" si="36"/>
        <v>0</v>
      </c>
      <c r="H226" s="379">
        <f t="shared" si="36"/>
        <v>0</v>
      </c>
      <c r="I226" s="388">
        <f t="shared" si="36"/>
        <v>0</v>
      </c>
      <c r="J226" s="388">
        <f t="shared" si="36"/>
        <v>0</v>
      </c>
      <c r="K226" s="389">
        <f t="shared" si="43"/>
        <v>0</v>
      </c>
      <c r="L226" s="394">
        <f t="shared" si="44"/>
        <v>1166</v>
      </c>
      <c r="M226" s="417">
        <f>Données!AE226</f>
        <v>0</v>
      </c>
      <c r="N226" s="394">
        <v>0</v>
      </c>
      <c r="O226" s="418">
        <f t="shared" si="37"/>
        <v>583</v>
      </c>
      <c r="P226" s="394">
        <f t="shared" si="45"/>
        <v>1166</v>
      </c>
      <c r="Q226" s="419">
        <f t="shared" si="38"/>
        <v>17974.975665469665</v>
      </c>
      <c r="R226" s="394">
        <f t="shared" si="39"/>
        <v>39281.947870457712</v>
      </c>
      <c r="S226" s="393">
        <f t="shared" si="40"/>
        <v>29269.906190476187</v>
      </c>
      <c r="T226" s="418">
        <f t="shared" si="41"/>
        <v>0</v>
      </c>
      <c r="U226" s="422">
        <f t="shared" si="46"/>
        <v>86526.829726403565</v>
      </c>
    </row>
    <row r="227" spans="1:21" x14ac:dyDescent="0.25">
      <c r="A227" s="148">
        <f>Données!A227</f>
        <v>5764</v>
      </c>
      <c r="B227" s="149" t="str">
        <f>Données!B227</f>
        <v>Vallorbe</v>
      </c>
      <c r="C227" s="392">
        <f>Données!C227</f>
        <v>4328</v>
      </c>
      <c r="D227" s="379">
        <f t="shared" si="42"/>
        <v>1000</v>
      </c>
      <c r="E227" s="379">
        <f t="shared" si="36"/>
        <v>2000</v>
      </c>
      <c r="F227" s="388">
        <f t="shared" si="36"/>
        <v>1328</v>
      </c>
      <c r="G227" s="378">
        <f t="shared" si="36"/>
        <v>0</v>
      </c>
      <c r="H227" s="379">
        <f t="shared" si="36"/>
        <v>0</v>
      </c>
      <c r="I227" s="388">
        <f t="shared" si="36"/>
        <v>0</v>
      </c>
      <c r="J227" s="388">
        <f t="shared" si="36"/>
        <v>0</v>
      </c>
      <c r="K227" s="389">
        <f t="shared" si="43"/>
        <v>0</v>
      </c>
      <c r="L227" s="394">
        <f t="shared" si="44"/>
        <v>12648</v>
      </c>
      <c r="M227" s="417">
        <f>Données!AE227</f>
        <v>0</v>
      </c>
      <c r="N227" s="394">
        <v>0</v>
      </c>
      <c r="O227" s="418">
        <f t="shared" si="37"/>
        <v>4328</v>
      </c>
      <c r="P227" s="394">
        <f t="shared" si="45"/>
        <v>12648</v>
      </c>
      <c r="Q227" s="419">
        <f t="shared" si="38"/>
        <v>133440.29962290346</v>
      </c>
      <c r="R227" s="394">
        <f t="shared" si="39"/>
        <v>291616.24422528472</v>
      </c>
      <c r="S227" s="393">
        <f t="shared" si="40"/>
        <v>317500.66337662336</v>
      </c>
      <c r="T227" s="418">
        <f t="shared" si="41"/>
        <v>0</v>
      </c>
      <c r="U227" s="422">
        <f t="shared" si="46"/>
        <v>742557.20722481154</v>
      </c>
    </row>
    <row r="228" spans="1:21" x14ac:dyDescent="0.25">
      <c r="A228" s="148">
        <f>Données!A228</f>
        <v>5765</v>
      </c>
      <c r="B228" s="149" t="str">
        <f>Données!B228</f>
        <v>Vaulion</v>
      </c>
      <c r="C228" s="392">
        <f>Données!C228</f>
        <v>489</v>
      </c>
      <c r="D228" s="379">
        <f t="shared" si="42"/>
        <v>489</v>
      </c>
      <c r="E228" s="379">
        <f t="shared" si="36"/>
        <v>0</v>
      </c>
      <c r="F228" s="388">
        <f t="shared" si="36"/>
        <v>0</v>
      </c>
      <c r="G228" s="378">
        <f t="shared" si="36"/>
        <v>0</v>
      </c>
      <c r="H228" s="379">
        <f t="shared" si="36"/>
        <v>0</v>
      </c>
      <c r="I228" s="388">
        <f t="shared" si="36"/>
        <v>0</v>
      </c>
      <c r="J228" s="388">
        <f t="shared" si="36"/>
        <v>0</v>
      </c>
      <c r="K228" s="389">
        <f t="shared" si="43"/>
        <v>0</v>
      </c>
      <c r="L228" s="394">
        <f t="shared" si="44"/>
        <v>978</v>
      </c>
      <c r="M228" s="417">
        <f>Données!AE228</f>
        <v>0</v>
      </c>
      <c r="N228" s="394">
        <v>0</v>
      </c>
      <c r="O228" s="418">
        <f t="shared" si="37"/>
        <v>489</v>
      </c>
      <c r="P228" s="394">
        <f t="shared" si="45"/>
        <v>978</v>
      </c>
      <c r="Q228" s="419">
        <f t="shared" si="38"/>
        <v>15076.780618206974</v>
      </c>
      <c r="R228" s="394">
        <f t="shared" si="39"/>
        <v>32948.323342459385</v>
      </c>
      <c r="S228" s="393">
        <f t="shared" si="40"/>
        <v>24550.573116883115</v>
      </c>
      <c r="T228" s="418">
        <f t="shared" si="41"/>
        <v>0</v>
      </c>
      <c r="U228" s="422">
        <f t="shared" si="46"/>
        <v>72575.677077549481</v>
      </c>
    </row>
    <row r="229" spans="1:21" x14ac:dyDescent="0.25">
      <c r="A229" s="148">
        <f>Données!A229</f>
        <v>5766</v>
      </c>
      <c r="B229" s="149" t="str">
        <f>Données!B229</f>
        <v>Vuiteboeuf</v>
      </c>
      <c r="C229" s="392">
        <f>Données!C229</f>
        <v>607</v>
      </c>
      <c r="D229" s="379">
        <f t="shared" si="42"/>
        <v>607</v>
      </c>
      <c r="E229" s="379">
        <f t="shared" si="36"/>
        <v>0</v>
      </c>
      <c r="F229" s="388">
        <f t="shared" si="36"/>
        <v>0</v>
      </c>
      <c r="G229" s="378">
        <f t="shared" si="36"/>
        <v>0</v>
      </c>
      <c r="H229" s="379">
        <f t="shared" si="36"/>
        <v>0</v>
      </c>
      <c r="I229" s="388">
        <f t="shared" si="36"/>
        <v>0</v>
      </c>
      <c r="J229" s="388">
        <f t="shared" si="36"/>
        <v>0</v>
      </c>
      <c r="K229" s="389">
        <f t="shared" si="43"/>
        <v>0</v>
      </c>
      <c r="L229" s="394">
        <f t="shared" si="44"/>
        <v>1214</v>
      </c>
      <c r="M229" s="417">
        <f>Données!AE229</f>
        <v>0</v>
      </c>
      <c r="N229" s="394">
        <v>0</v>
      </c>
      <c r="O229" s="418">
        <f t="shared" si="37"/>
        <v>607</v>
      </c>
      <c r="P229" s="394">
        <f t="shared" si="45"/>
        <v>1214</v>
      </c>
      <c r="Q229" s="419">
        <f t="shared" si="38"/>
        <v>18714.940358387797</v>
      </c>
      <c r="R229" s="394">
        <f t="shared" si="39"/>
        <v>40899.043494627498</v>
      </c>
      <c r="S229" s="393">
        <f t="shared" si="40"/>
        <v>30474.842294372291</v>
      </c>
      <c r="T229" s="418">
        <f t="shared" si="41"/>
        <v>0</v>
      </c>
      <c r="U229" s="422">
        <f t="shared" si="46"/>
        <v>90088.82614738759</v>
      </c>
    </row>
    <row r="230" spans="1:21" x14ac:dyDescent="0.25">
      <c r="A230" s="148">
        <f>Données!A230</f>
        <v>5785</v>
      </c>
      <c r="B230" s="149" t="str">
        <f>Données!B230</f>
        <v>Corcelles-le-Jorat</v>
      </c>
      <c r="C230" s="392">
        <f>Données!C230</f>
        <v>499</v>
      </c>
      <c r="D230" s="379">
        <f t="shared" si="42"/>
        <v>499</v>
      </c>
      <c r="E230" s="379">
        <f t="shared" si="36"/>
        <v>0</v>
      </c>
      <c r="F230" s="388">
        <f t="shared" si="36"/>
        <v>0</v>
      </c>
      <c r="G230" s="378">
        <f t="shared" si="36"/>
        <v>0</v>
      </c>
      <c r="H230" s="379">
        <f t="shared" si="36"/>
        <v>0</v>
      </c>
      <c r="I230" s="388">
        <f t="shared" si="36"/>
        <v>0</v>
      </c>
      <c r="J230" s="388">
        <f t="shared" si="36"/>
        <v>0</v>
      </c>
      <c r="K230" s="389">
        <f t="shared" si="43"/>
        <v>0</v>
      </c>
      <c r="L230" s="394">
        <f t="shared" si="44"/>
        <v>998</v>
      </c>
      <c r="M230" s="417">
        <f>Données!AE230</f>
        <v>0</v>
      </c>
      <c r="N230" s="394">
        <v>0</v>
      </c>
      <c r="O230" s="418">
        <f t="shared" si="37"/>
        <v>499</v>
      </c>
      <c r="P230" s="394">
        <f t="shared" si="45"/>
        <v>998</v>
      </c>
      <c r="Q230" s="419">
        <f t="shared" si="38"/>
        <v>15385.099240256197</v>
      </c>
      <c r="R230" s="394">
        <f t="shared" si="39"/>
        <v>33622.113185863462</v>
      </c>
      <c r="S230" s="393">
        <f t="shared" si="40"/>
        <v>25052.629826839824</v>
      </c>
      <c r="T230" s="418">
        <f t="shared" si="41"/>
        <v>0</v>
      </c>
      <c r="U230" s="422">
        <f t="shared" si="46"/>
        <v>74059.842252959483</v>
      </c>
    </row>
    <row r="231" spans="1:21" x14ac:dyDescent="0.25">
      <c r="A231" s="148">
        <f>Données!A231</f>
        <v>5790</v>
      </c>
      <c r="B231" s="149" t="str">
        <f>Données!B231</f>
        <v>Maracon</v>
      </c>
      <c r="C231" s="392">
        <f>Données!C231</f>
        <v>569</v>
      </c>
      <c r="D231" s="379">
        <f t="shared" si="42"/>
        <v>569</v>
      </c>
      <c r="E231" s="379">
        <f t="shared" si="36"/>
        <v>0</v>
      </c>
      <c r="F231" s="388">
        <f t="shared" si="36"/>
        <v>0</v>
      </c>
      <c r="G231" s="378">
        <f t="shared" si="36"/>
        <v>0</v>
      </c>
      <c r="H231" s="379">
        <f t="shared" si="36"/>
        <v>0</v>
      </c>
      <c r="I231" s="388">
        <f t="shared" si="36"/>
        <v>0</v>
      </c>
      <c r="J231" s="388">
        <f t="shared" si="36"/>
        <v>0</v>
      </c>
      <c r="K231" s="389">
        <f t="shared" si="43"/>
        <v>0</v>
      </c>
      <c r="L231" s="394">
        <f t="shared" si="44"/>
        <v>1138</v>
      </c>
      <c r="M231" s="417">
        <f>Données!AE231</f>
        <v>0</v>
      </c>
      <c r="N231" s="394">
        <v>0</v>
      </c>
      <c r="O231" s="418">
        <f t="shared" si="37"/>
        <v>569</v>
      </c>
      <c r="P231" s="394">
        <f t="shared" si="45"/>
        <v>1138</v>
      </c>
      <c r="Q231" s="419">
        <f t="shared" si="38"/>
        <v>17543.329594600753</v>
      </c>
      <c r="R231" s="394">
        <f t="shared" si="39"/>
        <v>38338.642089692003</v>
      </c>
      <c r="S231" s="393">
        <f t="shared" si="40"/>
        <v>28567.026796536793</v>
      </c>
      <c r="T231" s="418">
        <f t="shared" si="41"/>
        <v>0</v>
      </c>
      <c r="U231" s="422">
        <f t="shared" si="46"/>
        <v>84448.998480829556</v>
      </c>
    </row>
    <row r="232" spans="1:21" x14ac:dyDescent="0.25">
      <c r="A232" s="148">
        <f>Données!A232</f>
        <v>5792</v>
      </c>
      <c r="B232" s="149" t="str">
        <f>Données!B232</f>
        <v>Montpreveyres</v>
      </c>
      <c r="C232" s="392">
        <f>Données!C232</f>
        <v>653</v>
      </c>
      <c r="D232" s="379">
        <f t="shared" si="42"/>
        <v>653</v>
      </c>
      <c r="E232" s="379">
        <f t="shared" si="36"/>
        <v>0</v>
      </c>
      <c r="F232" s="388">
        <f t="shared" si="36"/>
        <v>0</v>
      </c>
      <c r="G232" s="378">
        <f t="shared" si="36"/>
        <v>0</v>
      </c>
      <c r="H232" s="379">
        <f t="shared" si="36"/>
        <v>0</v>
      </c>
      <c r="I232" s="388">
        <f t="shared" si="36"/>
        <v>0</v>
      </c>
      <c r="J232" s="388">
        <f t="shared" si="36"/>
        <v>0</v>
      </c>
      <c r="K232" s="389">
        <f t="shared" si="43"/>
        <v>0</v>
      </c>
      <c r="L232" s="394">
        <f t="shared" si="44"/>
        <v>1306</v>
      </c>
      <c r="M232" s="417">
        <f>Données!AE232</f>
        <v>0</v>
      </c>
      <c r="N232" s="394">
        <v>0</v>
      </c>
      <c r="O232" s="418">
        <f t="shared" si="37"/>
        <v>653</v>
      </c>
      <c r="P232" s="394">
        <f t="shared" si="45"/>
        <v>1306</v>
      </c>
      <c r="Q232" s="419">
        <f t="shared" si="38"/>
        <v>20133.206019814221</v>
      </c>
      <c r="R232" s="394">
        <f t="shared" si="39"/>
        <v>43998.476774286253</v>
      </c>
      <c r="S232" s="393">
        <f t="shared" si="40"/>
        <v>32784.303160173156</v>
      </c>
      <c r="T232" s="418">
        <f t="shared" si="41"/>
        <v>0</v>
      </c>
      <c r="U232" s="422">
        <f t="shared" si="46"/>
        <v>96915.985954273638</v>
      </c>
    </row>
    <row r="233" spans="1:21" x14ac:dyDescent="0.25">
      <c r="A233" s="148">
        <f>Données!A233</f>
        <v>5798</v>
      </c>
      <c r="B233" s="149" t="str">
        <f>Données!B233</f>
        <v>Ropraz</v>
      </c>
      <c r="C233" s="392">
        <f>Données!C233</f>
        <v>529</v>
      </c>
      <c r="D233" s="379">
        <f t="shared" si="42"/>
        <v>529</v>
      </c>
      <c r="E233" s="379">
        <f t="shared" si="36"/>
        <v>0</v>
      </c>
      <c r="F233" s="388">
        <f t="shared" si="36"/>
        <v>0</v>
      </c>
      <c r="G233" s="378">
        <f t="shared" si="36"/>
        <v>0</v>
      </c>
      <c r="H233" s="379">
        <f t="shared" si="36"/>
        <v>0</v>
      </c>
      <c r="I233" s="388">
        <f t="shared" si="36"/>
        <v>0</v>
      </c>
      <c r="J233" s="388">
        <f t="shared" si="36"/>
        <v>0</v>
      </c>
      <c r="K233" s="389">
        <f t="shared" si="43"/>
        <v>0</v>
      </c>
      <c r="L233" s="394">
        <f t="shared" si="44"/>
        <v>1058</v>
      </c>
      <c r="M233" s="417">
        <f>Données!AE233</f>
        <v>0</v>
      </c>
      <c r="N233" s="394">
        <v>0</v>
      </c>
      <c r="O233" s="418">
        <f t="shared" si="37"/>
        <v>529</v>
      </c>
      <c r="P233" s="394">
        <f t="shared" si="45"/>
        <v>1058</v>
      </c>
      <c r="Q233" s="419">
        <f t="shared" si="38"/>
        <v>16310.055106403865</v>
      </c>
      <c r="R233" s="394">
        <f t="shared" si="39"/>
        <v>35643.482716075698</v>
      </c>
      <c r="S233" s="393">
        <f t="shared" si="40"/>
        <v>26558.799956709954</v>
      </c>
      <c r="T233" s="418">
        <f t="shared" si="41"/>
        <v>0</v>
      </c>
      <c r="U233" s="422">
        <f t="shared" si="46"/>
        <v>78512.337779189518</v>
      </c>
    </row>
    <row r="234" spans="1:21" x14ac:dyDescent="0.25">
      <c r="A234" s="148">
        <f>Données!A234</f>
        <v>5799</v>
      </c>
      <c r="B234" s="149" t="str">
        <f>Données!B234</f>
        <v>Servion</v>
      </c>
      <c r="C234" s="392">
        <f>Données!C234</f>
        <v>2228</v>
      </c>
      <c r="D234" s="379">
        <f t="shared" si="42"/>
        <v>1000</v>
      </c>
      <c r="E234" s="379">
        <f t="shared" si="36"/>
        <v>1228</v>
      </c>
      <c r="F234" s="388">
        <f t="shared" si="36"/>
        <v>0</v>
      </c>
      <c r="G234" s="378">
        <f t="shared" si="36"/>
        <v>0</v>
      </c>
      <c r="H234" s="379">
        <f t="shared" si="36"/>
        <v>0</v>
      </c>
      <c r="I234" s="388">
        <f t="shared" si="36"/>
        <v>0</v>
      </c>
      <c r="J234" s="388">
        <f t="shared" si="36"/>
        <v>0</v>
      </c>
      <c r="K234" s="389">
        <f t="shared" si="43"/>
        <v>0</v>
      </c>
      <c r="L234" s="394">
        <f t="shared" si="44"/>
        <v>5684</v>
      </c>
      <c r="M234" s="417">
        <f>Données!AE234</f>
        <v>0</v>
      </c>
      <c r="N234" s="394">
        <v>0</v>
      </c>
      <c r="O234" s="418">
        <f t="shared" si="37"/>
        <v>2228</v>
      </c>
      <c r="P234" s="394">
        <f t="shared" si="45"/>
        <v>5684</v>
      </c>
      <c r="Q234" s="419">
        <f t="shared" si="38"/>
        <v>68693.388992566746</v>
      </c>
      <c r="R234" s="394">
        <f t="shared" si="39"/>
        <v>150120.37711042844</v>
      </c>
      <c r="S234" s="393">
        <f t="shared" si="40"/>
        <v>142684.51696969697</v>
      </c>
      <c r="T234" s="418">
        <f t="shared" si="41"/>
        <v>0</v>
      </c>
      <c r="U234" s="422">
        <f t="shared" si="46"/>
        <v>361498.28307269217</v>
      </c>
    </row>
    <row r="235" spans="1:21" x14ac:dyDescent="0.25">
      <c r="A235" s="148">
        <f>Données!A235</f>
        <v>5803</v>
      </c>
      <c r="B235" s="149" t="str">
        <f>Données!B235</f>
        <v>Vulliens</v>
      </c>
      <c r="C235" s="392">
        <f>Données!C235</f>
        <v>628</v>
      </c>
      <c r="D235" s="379">
        <f t="shared" si="42"/>
        <v>628</v>
      </c>
      <c r="E235" s="379">
        <f t="shared" si="36"/>
        <v>0</v>
      </c>
      <c r="F235" s="388">
        <f t="shared" si="36"/>
        <v>0</v>
      </c>
      <c r="G235" s="378">
        <f t="shared" si="36"/>
        <v>0</v>
      </c>
      <c r="H235" s="379">
        <f t="shared" si="36"/>
        <v>0</v>
      </c>
      <c r="I235" s="388">
        <f t="shared" si="36"/>
        <v>0</v>
      </c>
      <c r="J235" s="388">
        <f t="shared" si="36"/>
        <v>0</v>
      </c>
      <c r="K235" s="389">
        <f t="shared" si="43"/>
        <v>0</v>
      </c>
      <c r="L235" s="394">
        <f t="shared" si="44"/>
        <v>1256</v>
      </c>
      <c r="M235" s="417">
        <f>Données!AE235</f>
        <v>0</v>
      </c>
      <c r="N235" s="394">
        <v>0</v>
      </c>
      <c r="O235" s="418">
        <f t="shared" si="37"/>
        <v>628</v>
      </c>
      <c r="P235" s="394">
        <f t="shared" si="45"/>
        <v>1256</v>
      </c>
      <c r="Q235" s="419">
        <f t="shared" si="38"/>
        <v>19362.409464691165</v>
      </c>
      <c r="R235" s="394">
        <f t="shared" si="39"/>
        <v>42314.002165776059</v>
      </c>
      <c r="S235" s="393">
        <f t="shared" si="40"/>
        <v>31529.161385281383</v>
      </c>
      <c r="T235" s="418">
        <f t="shared" si="41"/>
        <v>0</v>
      </c>
      <c r="U235" s="422">
        <f t="shared" si="46"/>
        <v>93205.57301574861</v>
      </c>
    </row>
    <row r="236" spans="1:21" x14ac:dyDescent="0.25">
      <c r="A236" s="148">
        <f>Données!A236</f>
        <v>5804</v>
      </c>
      <c r="B236" s="149" t="str">
        <f>Données!B236</f>
        <v>Jorat-Menthue</v>
      </c>
      <c r="C236" s="392">
        <f>Données!C236</f>
        <v>1576</v>
      </c>
      <c r="D236" s="379">
        <f t="shared" si="42"/>
        <v>1000</v>
      </c>
      <c r="E236" s="379">
        <f t="shared" si="36"/>
        <v>576</v>
      </c>
      <c r="F236" s="388">
        <f t="shared" si="36"/>
        <v>0</v>
      </c>
      <c r="G236" s="378">
        <f t="shared" si="36"/>
        <v>0</v>
      </c>
      <c r="H236" s="379">
        <f t="shared" ref="E236:J278" si="47">IF($C236&lt;H$4,0,IF($C236&gt;H$5,H$5-H$4,$C236-H$4))</f>
        <v>0</v>
      </c>
      <c r="I236" s="388">
        <f t="shared" si="47"/>
        <v>0</v>
      </c>
      <c r="J236" s="388">
        <f t="shared" si="47"/>
        <v>0</v>
      </c>
      <c r="K236" s="389">
        <f t="shared" si="43"/>
        <v>0</v>
      </c>
      <c r="L236" s="394">
        <f t="shared" si="44"/>
        <v>3728</v>
      </c>
      <c r="M236" s="417">
        <f>Données!AE236</f>
        <v>0</v>
      </c>
      <c r="N236" s="394">
        <v>0</v>
      </c>
      <c r="O236" s="418">
        <f t="shared" si="37"/>
        <v>1576</v>
      </c>
      <c r="P236" s="394">
        <f t="shared" si="45"/>
        <v>3728</v>
      </c>
      <c r="Q236" s="419">
        <f t="shared" si="38"/>
        <v>48591.014834957445</v>
      </c>
      <c r="R236" s="394">
        <f t="shared" si="39"/>
        <v>106189.2793204826</v>
      </c>
      <c r="S236" s="393">
        <f t="shared" si="40"/>
        <v>93583.37073593073</v>
      </c>
      <c r="T236" s="418">
        <f t="shared" si="41"/>
        <v>0</v>
      </c>
      <c r="U236" s="422">
        <f t="shared" si="46"/>
        <v>248363.6648913708</v>
      </c>
    </row>
    <row r="237" spans="1:21" x14ac:dyDescent="0.25">
      <c r="A237" s="148">
        <f>Données!A237</f>
        <v>5805</v>
      </c>
      <c r="B237" s="149" t="str">
        <f>Données!B237</f>
        <v>Oron</v>
      </c>
      <c r="C237" s="392">
        <f>Données!C237</f>
        <v>6345</v>
      </c>
      <c r="D237" s="379">
        <f t="shared" si="42"/>
        <v>1000</v>
      </c>
      <c r="E237" s="379">
        <f t="shared" si="47"/>
        <v>2000</v>
      </c>
      <c r="F237" s="388">
        <f t="shared" si="47"/>
        <v>2000</v>
      </c>
      <c r="G237" s="378">
        <f t="shared" si="47"/>
        <v>1345</v>
      </c>
      <c r="H237" s="379">
        <f t="shared" si="47"/>
        <v>0</v>
      </c>
      <c r="I237" s="388">
        <f t="shared" si="47"/>
        <v>0</v>
      </c>
      <c r="J237" s="388">
        <f t="shared" si="47"/>
        <v>0</v>
      </c>
      <c r="K237" s="389">
        <f t="shared" si="43"/>
        <v>0</v>
      </c>
      <c r="L237" s="394">
        <f t="shared" si="44"/>
        <v>20380</v>
      </c>
      <c r="M237" s="417">
        <f>Données!AE237</f>
        <v>0</v>
      </c>
      <c r="N237" s="394">
        <v>0</v>
      </c>
      <c r="O237" s="418">
        <f t="shared" si="37"/>
        <v>6345</v>
      </c>
      <c r="P237" s="394">
        <f t="shared" si="45"/>
        <v>20380</v>
      </c>
      <c r="Q237" s="419">
        <f t="shared" si="38"/>
        <v>195628.1656902316</v>
      </c>
      <c r="R237" s="394">
        <f t="shared" si="39"/>
        <v>427519.65563988709</v>
      </c>
      <c r="S237" s="393">
        <f t="shared" si="40"/>
        <v>511595.7874458874</v>
      </c>
      <c r="T237" s="418">
        <f t="shared" si="41"/>
        <v>0</v>
      </c>
      <c r="U237" s="422">
        <f t="shared" si="46"/>
        <v>1134743.6087760061</v>
      </c>
    </row>
    <row r="238" spans="1:21" x14ac:dyDescent="0.25">
      <c r="A238" s="148">
        <f>Données!A238</f>
        <v>5806</v>
      </c>
      <c r="B238" s="149" t="str">
        <f>Données!B238</f>
        <v>Jorat-Mézières</v>
      </c>
      <c r="C238" s="392">
        <f>Données!C238</f>
        <v>3189</v>
      </c>
      <c r="D238" s="379">
        <f t="shared" si="42"/>
        <v>1000</v>
      </c>
      <c r="E238" s="379">
        <f t="shared" si="47"/>
        <v>2000</v>
      </c>
      <c r="F238" s="388">
        <f t="shared" si="47"/>
        <v>189</v>
      </c>
      <c r="G238" s="378">
        <f t="shared" si="47"/>
        <v>0</v>
      </c>
      <c r="H238" s="379">
        <f t="shared" si="47"/>
        <v>0</v>
      </c>
      <c r="I238" s="388">
        <f t="shared" si="47"/>
        <v>0</v>
      </c>
      <c r="J238" s="388">
        <f t="shared" si="47"/>
        <v>0</v>
      </c>
      <c r="K238" s="389">
        <f t="shared" si="43"/>
        <v>0</v>
      </c>
      <c r="L238" s="394">
        <f t="shared" si="44"/>
        <v>8661.5</v>
      </c>
      <c r="M238" s="417">
        <f>Données!AE238</f>
        <v>0</v>
      </c>
      <c r="N238" s="394">
        <v>0</v>
      </c>
      <c r="O238" s="418">
        <f t="shared" si="37"/>
        <v>3189</v>
      </c>
      <c r="P238" s="394">
        <f t="shared" si="45"/>
        <v>8661.5</v>
      </c>
      <c r="Q238" s="419">
        <f t="shared" si="38"/>
        <v>98322.808571497022</v>
      </c>
      <c r="R238" s="394">
        <f t="shared" si="39"/>
        <v>214871.58106156028</v>
      </c>
      <c r="S238" s="393">
        <f t="shared" si="40"/>
        <v>217428.20966450215</v>
      </c>
      <c r="T238" s="418">
        <f t="shared" si="41"/>
        <v>0</v>
      </c>
      <c r="U238" s="422">
        <f t="shared" si="46"/>
        <v>530622.59929755947</v>
      </c>
    </row>
    <row r="239" spans="1:21" x14ac:dyDescent="0.25">
      <c r="A239" s="148">
        <f>Données!A239</f>
        <v>5812</v>
      </c>
      <c r="B239" s="149" t="str">
        <f>Données!B239</f>
        <v>Champtauroz</v>
      </c>
      <c r="C239" s="392">
        <f>Données!C239</f>
        <v>196</v>
      </c>
      <c r="D239" s="379">
        <f t="shared" si="42"/>
        <v>196</v>
      </c>
      <c r="E239" s="379">
        <f t="shared" si="47"/>
        <v>0</v>
      </c>
      <c r="F239" s="388">
        <f t="shared" si="47"/>
        <v>0</v>
      </c>
      <c r="G239" s="378">
        <f t="shared" si="47"/>
        <v>0</v>
      </c>
      <c r="H239" s="379">
        <f t="shared" si="47"/>
        <v>0</v>
      </c>
      <c r="I239" s="388">
        <f t="shared" si="47"/>
        <v>0</v>
      </c>
      <c r="J239" s="388">
        <f t="shared" si="47"/>
        <v>0</v>
      </c>
      <c r="K239" s="389">
        <f t="shared" si="43"/>
        <v>0</v>
      </c>
      <c r="L239" s="394">
        <f t="shared" si="44"/>
        <v>392</v>
      </c>
      <c r="M239" s="417">
        <f>Données!AE239</f>
        <v>0</v>
      </c>
      <c r="N239" s="394">
        <v>0</v>
      </c>
      <c r="O239" s="418">
        <f t="shared" si="37"/>
        <v>196</v>
      </c>
      <c r="P239" s="394">
        <f t="shared" si="45"/>
        <v>392</v>
      </c>
      <c r="Q239" s="419">
        <f t="shared" si="38"/>
        <v>6043.0449921647587</v>
      </c>
      <c r="R239" s="394">
        <f t="shared" si="39"/>
        <v>13206.280930719917</v>
      </c>
      <c r="S239" s="393">
        <f t="shared" si="40"/>
        <v>9840.311515151514</v>
      </c>
      <c r="T239" s="418">
        <f t="shared" si="41"/>
        <v>0</v>
      </c>
      <c r="U239" s="422">
        <f t="shared" si="46"/>
        <v>29089.637438036189</v>
      </c>
    </row>
    <row r="240" spans="1:21" x14ac:dyDescent="0.25">
      <c r="A240" s="148">
        <f>Données!A240</f>
        <v>5813</v>
      </c>
      <c r="B240" s="149" t="str">
        <f>Données!B240</f>
        <v>Chevroux</v>
      </c>
      <c r="C240" s="392">
        <f>Données!C240</f>
        <v>495</v>
      </c>
      <c r="D240" s="379">
        <f t="shared" si="42"/>
        <v>495</v>
      </c>
      <c r="E240" s="379">
        <f t="shared" si="47"/>
        <v>0</v>
      </c>
      <c r="F240" s="388">
        <f t="shared" si="47"/>
        <v>0</v>
      </c>
      <c r="G240" s="378">
        <f t="shared" si="47"/>
        <v>0</v>
      </c>
      <c r="H240" s="379">
        <f t="shared" si="47"/>
        <v>0</v>
      </c>
      <c r="I240" s="388">
        <f t="shared" si="47"/>
        <v>0</v>
      </c>
      <c r="J240" s="388">
        <f t="shared" si="47"/>
        <v>0</v>
      </c>
      <c r="K240" s="389">
        <f t="shared" si="43"/>
        <v>0</v>
      </c>
      <c r="L240" s="394">
        <f t="shared" si="44"/>
        <v>990</v>
      </c>
      <c r="M240" s="417">
        <f>Données!AE240</f>
        <v>0</v>
      </c>
      <c r="N240" s="394">
        <v>0</v>
      </c>
      <c r="O240" s="418">
        <f t="shared" si="37"/>
        <v>495</v>
      </c>
      <c r="P240" s="394">
        <f t="shared" si="45"/>
        <v>990</v>
      </c>
      <c r="Q240" s="419">
        <f t="shared" si="38"/>
        <v>15261.771791436508</v>
      </c>
      <c r="R240" s="394">
        <f t="shared" si="39"/>
        <v>33352.597248501828</v>
      </c>
      <c r="S240" s="393">
        <f t="shared" si="40"/>
        <v>24851.807142857142</v>
      </c>
      <c r="T240" s="418">
        <f t="shared" si="41"/>
        <v>0</v>
      </c>
      <c r="U240" s="422">
        <f t="shared" si="46"/>
        <v>73466.176182795476</v>
      </c>
    </row>
    <row r="241" spans="1:21" x14ac:dyDescent="0.25">
      <c r="A241" s="148">
        <f>Données!A241</f>
        <v>5816</v>
      </c>
      <c r="B241" s="149" t="str">
        <f>Données!B241</f>
        <v>Corcelles-près-Payerne</v>
      </c>
      <c r="C241" s="392">
        <f>Données!C241</f>
        <v>3004</v>
      </c>
      <c r="D241" s="379">
        <f t="shared" si="42"/>
        <v>1000</v>
      </c>
      <c r="E241" s="379">
        <f t="shared" si="47"/>
        <v>2000</v>
      </c>
      <c r="F241" s="388">
        <f t="shared" si="47"/>
        <v>4</v>
      </c>
      <c r="G241" s="378">
        <f t="shared" si="47"/>
        <v>0</v>
      </c>
      <c r="H241" s="379">
        <f t="shared" si="47"/>
        <v>0</v>
      </c>
      <c r="I241" s="388">
        <f t="shared" si="47"/>
        <v>0</v>
      </c>
      <c r="J241" s="388">
        <f t="shared" si="47"/>
        <v>0</v>
      </c>
      <c r="K241" s="389">
        <f t="shared" si="43"/>
        <v>0</v>
      </c>
      <c r="L241" s="394">
        <f t="shared" si="44"/>
        <v>8014</v>
      </c>
      <c r="M241" s="417">
        <f>Données!AE241</f>
        <v>0</v>
      </c>
      <c r="N241" s="394">
        <v>0</v>
      </c>
      <c r="O241" s="418">
        <f t="shared" si="37"/>
        <v>3004</v>
      </c>
      <c r="P241" s="394">
        <f t="shared" si="45"/>
        <v>8014</v>
      </c>
      <c r="Q241" s="419">
        <f t="shared" si="38"/>
        <v>92618.914063586402</v>
      </c>
      <c r="R241" s="394">
        <f t="shared" si="39"/>
        <v>202406.46895858485</v>
      </c>
      <c r="S241" s="393">
        <f t="shared" si="40"/>
        <v>201174.12367965365</v>
      </c>
      <c r="T241" s="418">
        <f t="shared" si="41"/>
        <v>0</v>
      </c>
      <c r="U241" s="422">
        <f t="shared" si="46"/>
        <v>496199.50670182495</v>
      </c>
    </row>
    <row r="242" spans="1:21" x14ac:dyDescent="0.25">
      <c r="A242" s="148">
        <f>Données!A242</f>
        <v>5817</v>
      </c>
      <c r="B242" s="149" t="str">
        <f>Données!B242</f>
        <v>Grandcour</v>
      </c>
      <c r="C242" s="392">
        <f>Données!C242</f>
        <v>983</v>
      </c>
      <c r="D242" s="379">
        <f t="shared" si="42"/>
        <v>983</v>
      </c>
      <c r="E242" s="379">
        <f t="shared" si="47"/>
        <v>0</v>
      </c>
      <c r="F242" s="388">
        <f t="shared" si="47"/>
        <v>0</v>
      </c>
      <c r="G242" s="378">
        <f t="shared" si="47"/>
        <v>0</v>
      </c>
      <c r="H242" s="379">
        <f t="shared" si="47"/>
        <v>0</v>
      </c>
      <c r="I242" s="388">
        <f t="shared" si="47"/>
        <v>0</v>
      </c>
      <c r="J242" s="388">
        <f t="shared" si="47"/>
        <v>0</v>
      </c>
      <c r="K242" s="389">
        <f t="shared" si="43"/>
        <v>0</v>
      </c>
      <c r="L242" s="394">
        <f t="shared" si="44"/>
        <v>1966</v>
      </c>
      <c r="M242" s="417">
        <f>Données!AE242</f>
        <v>0</v>
      </c>
      <c r="N242" s="394">
        <v>0</v>
      </c>
      <c r="O242" s="418">
        <f t="shared" si="37"/>
        <v>983</v>
      </c>
      <c r="P242" s="394">
        <f t="shared" si="45"/>
        <v>1966</v>
      </c>
      <c r="Q242" s="419">
        <f t="shared" si="38"/>
        <v>30307.720547438559</v>
      </c>
      <c r="R242" s="394">
        <f t="shared" si="39"/>
        <v>66233.541606620813</v>
      </c>
      <c r="S242" s="393">
        <f t="shared" si="40"/>
        <v>49352.174588744587</v>
      </c>
      <c r="T242" s="418">
        <f t="shared" si="41"/>
        <v>0</v>
      </c>
      <c r="U242" s="422">
        <f t="shared" si="46"/>
        <v>145893.43674280395</v>
      </c>
    </row>
    <row r="243" spans="1:21" x14ac:dyDescent="0.25">
      <c r="A243" s="148">
        <f>Données!A243</f>
        <v>5819</v>
      </c>
      <c r="B243" s="149" t="str">
        <f>Données!B243</f>
        <v>Henniez</v>
      </c>
      <c r="C243" s="392">
        <f>Données!C243</f>
        <v>468</v>
      </c>
      <c r="D243" s="379">
        <f t="shared" si="42"/>
        <v>468</v>
      </c>
      <c r="E243" s="379">
        <f t="shared" si="47"/>
        <v>0</v>
      </c>
      <c r="F243" s="388">
        <f t="shared" si="47"/>
        <v>0</v>
      </c>
      <c r="G243" s="378">
        <f t="shared" si="47"/>
        <v>0</v>
      </c>
      <c r="H243" s="379">
        <f t="shared" si="47"/>
        <v>0</v>
      </c>
      <c r="I243" s="388">
        <f t="shared" si="47"/>
        <v>0</v>
      </c>
      <c r="J243" s="388">
        <f t="shared" si="47"/>
        <v>0</v>
      </c>
      <c r="K243" s="389">
        <f t="shared" si="43"/>
        <v>0</v>
      </c>
      <c r="L243" s="394">
        <f t="shared" si="44"/>
        <v>936</v>
      </c>
      <c r="M243" s="417">
        <f>Données!AE243</f>
        <v>0</v>
      </c>
      <c r="N243" s="394">
        <v>0</v>
      </c>
      <c r="O243" s="418">
        <f t="shared" si="37"/>
        <v>468</v>
      </c>
      <c r="P243" s="394">
        <f t="shared" si="45"/>
        <v>936</v>
      </c>
      <c r="Q243" s="419">
        <f t="shared" si="38"/>
        <v>14429.311511903608</v>
      </c>
      <c r="R243" s="394">
        <f t="shared" si="39"/>
        <v>31533.364671310821</v>
      </c>
      <c r="S243" s="393">
        <f t="shared" si="40"/>
        <v>23496.254025974024</v>
      </c>
      <c r="T243" s="418">
        <f t="shared" si="41"/>
        <v>0</v>
      </c>
      <c r="U243" s="422">
        <f t="shared" si="46"/>
        <v>69458.930209188446</v>
      </c>
    </row>
    <row r="244" spans="1:21" x14ac:dyDescent="0.25">
      <c r="A244" s="148">
        <f>Données!A244</f>
        <v>5821</v>
      </c>
      <c r="B244" s="149" t="str">
        <f>Données!B244</f>
        <v>Missy</v>
      </c>
      <c r="C244" s="392">
        <f>Données!C244</f>
        <v>384</v>
      </c>
      <c r="D244" s="379">
        <f t="shared" si="42"/>
        <v>384</v>
      </c>
      <c r="E244" s="379">
        <f t="shared" si="47"/>
        <v>0</v>
      </c>
      <c r="F244" s="388">
        <f t="shared" si="47"/>
        <v>0</v>
      </c>
      <c r="G244" s="378">
        <f t="shared" si="47"/>
        <v>0</v>
      </c>
      <c r="H244" s="379">
        <f t="shared" si="47"/>
        <v>0</v>
      </c>
      <c r="I244" s="388">
        <f t="shared" si="47"/>
        <v>0</v>
      </c>
      <c r="J244" s="388">
        <f t="shared" si="47"/>
        <v>0</v>
      </c>
      <c r="K244" s="389">
        <f t="shared" si="43"/>
        <v>0</v>
      </c>
      <c r="L244" s="394">
        <f t="shared" si="44"/>
        <v>768</v>
      </c>
      <c r="M244" s="417">
        <f>Données!AE244</f>
        <v>0</v>
      </c>
      <c r="N244" s="394">
        <v>0</v>
      </c>
      <c r="O244" s="418">
        <f t="shared" si="37"/>
        <v>384</v>
      </c>
      <c r="P244" s="394">
        <f t="shared" si="45"/>
        <v>768</v>
      </c>
      <c r="Q244" s="419">
        <f t="shared" si="38"/>
        <v>11839.43508669014</v>
      </c>
      <c r="R244" s="394">
        <f t="shared" si="39"/>
        <v>25873.529986716574</v>
      </c>
      <c r="S244" s="393">
        <f t="shared" si="40"/>
        <v>19278.97766233766</v>
      </c>
      <c r="T244" s="418">
        <f t="shared" si="41"/>
        <v>0</v>
      </c>
      <c r="U244" s="422">
        <f t="shared" si="46"/>
        <v>56991.942735744371</v>
      </c>
    </row>
    <row r="245" spans="1:21" x14ac:dyDescent="0.25">
      <c r="A245" s="148">
        <f>Données!A245</f>
        <v>5822</v>
      </c>
      <c r="B245" s="149" t="str">
        <f>Données!B245</f>
        <v>Payerne</v>
      </c>
      <c r="C245" s="392">
        <f>Données!C245</f>
        <v>10802</v>
      </c>
      <c r="D245" s="379">
        <f t="shared" si="42"/>
        <v>1000</v>
      </c>
      <c r="E245" s="379">
        <f t="shared" si="47"/>
        <v>2000</v>
      </c>
      <c r="F245" s="388">
        <f t="shared" si="47"/>
        <v>2000</v>
      </c>
      <c r="G245" s="378">
        <f t="shared" si="47"/>
        <v>5802</v>
      </c>
      <c r="H245" s="379">
        <f t="shared" si="47"/>
        <v>0</v>
      </c>
      <c r="I245" s="388">
        <f t="shared" si="47"/>
        <v>0</v>
      </c>
      <c r="J245" s="388">
        <f t="shared" si="47"/>
        <v>0</v>
      </c>
      <c r="K245" s="389">
        <f t="shared" si="43"/>
        <v>0</v>
      </c>
      <c r="L245" s="394">
        <f t="shared" si="44"/>
        <v>38208</v>
      </c>
      <c r="M245" s="417">
        <f>Données!AE245</f>
        <v>0</v>
      </c>
      <c r="N245" s="394">
        <v>0</v>
      </c>
      <c r="O245" s="418">
        <f t="shared" si="37"/>
        <v>10802</v>
      </c>
      <c r="P245" s="394">
        <f t="shared" si="45"/>
        <v>38208</v>
      </c>
      <c r="Q245" s="419">
        <f t="shared" si="38"/>
        <v>333045.77553757001</v>
      </c>
      <c r="R245" s="394">
        <f t="shared" si="39"/>
        <v>727827.78884508437</v>
      </c>
      <c r="S245" s="393">
        <f t="shared" si="40"/>
        <v>959129.13870129862</v>
      </c>
      <c r="T245" s="418">
        <f t="shared" si="41"/>
        <v>0</v>
      </c>
      <c r="U245" s="422">
        <f t="shared" si="46"/>
        <v>2020002.7030839529</v>
      </c>
    </row>
    <row r="246" spans="1:21" x14ac:dyDescent="0.25">
      <c r="A246" s="148">
        <f>Données!A246</f>
        <v>5827</v>
      </c>
      <c r="B246" s="149" t="str">
        <f>Données!B246</f>
        <v>Trey</v>
      </c>
      <c r="C246" s="392">
        <f>Données!C246</f>
        <v>318</v>
      </c>
      <c r="D246" s="379">
        <f t="shared" si="42"/>
        <v>318</v>
      </c>
      <c r="E246" s="379">
        <f t="shared" si="47"/>
        <v>0</v>
      </c>
      <c r="F246" s="388">
        <f t="shared" si="47"/>
        <v>0</v>
      </c>
      <c r="G246" s="378">
        <f t="shared" si="47"/>
        <v>0</v>
      </c>
      <c r="H246" s="379">
        <f t="shared" si="47"/>
        <v>0</v>
      </c>
      <c r="I246" s="388">
        <f t="shared" si="47"/>
        <v>0</v>
      </c>
      <c r="J246" s="388">
        <f t="shared" si="47"/>
        <v>0</v>
      </c>
      <c r="K246" s="389">
        <f t="shared" si="43"/>
        <v>0</v>
      </c>
      <c r="L246" s="394">
        <f t="shared" si="44"/>
        <v>636</v>
      </c>
      <c r="M246" s="417">
        <f>Données!AE246</f>
        <v>0</v>
      </c>
      <c r="N246" s="394">
        <v>0</v>
      </c>
      <c r="O246" s="418">
        <f t="shared" si="37"/>
        <v>318</v>
      </c>
      <c r="P246" s="394">
        <f t="shared" si="45"/>
        <v>636</v>
      </c>
      <c r="Q246" s="419">
        <f t="shared" si="38"/>
        <v>9804.532181165272</v>
      </c>
      <c r="R246" s="394">
        <f t="shared" si="39"/>
        <v>21426.517020249663</v>
      </c>
      <c r="S246" s="393">
        <f t="shared" si="40"/>
        <v>15965.403376623375</v>
      </c>
      <c r="T246" s="418">
        <f t="shared" si="41"/>
        <v>0</v>
      </c>
      <c r="U246" s="422">
        <f t="shared" si="46"/>
        <v>47196.452578038312</v>
      </c>
    </row>
    <row r="247" spans="1:21" x14ac:dyDescent="0.25">
      <c r="A247" s="148">
        <f>Données!A247</f>
        <v>5828</v>
      </c>
      <c r="B247" s="149" t="str">
        <f>Données!B247</f>
        <v>Treytorrens (Payerne)</v>
      </c>
      <c r="C247" s="392">
        <f>Données!C247</f>
        <v>109</v>
      </c>
      <c r="D247" s="379">
        <f t="shared" si="42"/>
        <v>109</v>
      </c>
      <c r="E247" s="379">
        <f t="shared" si="47"/>
        <v>0</v>
      </c>
      <c r="F247" s="388">
        <f t="shared" si="47"/>
        <v>0</v>
      </c>
      <c r="G247" s="378">
        <f t="shared" si="47"/>
        <v>0</v>
      </c>
      <c r="H247" s="379">
        <f t="shared" si="47"/>
        <v>0</v>
      </c>
      <c r="I247" s="388">
        <f t="shared" si="47"/>
        <v>0</v>
      </c>
      <c r="J247" s="388">
        <f t="shared" si="47"/>
        <v>0</v>
      </c>
      <c r="K247" s="389">
        <f t="shared" si="43"/>
        <v>0</v>
      </c>
      <c r="L247" s="394">
        <f t="shared" si="44"/>
        <v>218</v>
      </c>
      <c r="M247" s="417">
        <f>Données!AE247</f>
        <v>0</v>
      </c>
      <c r="N247" s="394">
        <v>0</v>
      </c>
      <c r="O247" s="418">
        <f t="shared" si="37"/>
        <v>109</v>
      </c>
      <c r="P247" s="394">
        <f t="shared" si="45"/>
        <v>218</v>
      </c>
      <c r="Q247" s="419">
        <f t="shared" si="38"/>
        <v>3360.6729803365238</v>
      </c>
      <c r="R247" s="394">
        <f t="shared" si="39"/>
        <v>7344.3092931044439</v>
      </c>
      <c r="S247" s="393">
        <f t="shared" si="40"/>
        <v>5472.4181385281381</v>
      </c>
      <c r="T247" s="418">
        <f t="shared" si="41"/>
        <v>0</v>
      </c>
      <c r="U247" s="422">
        <f t="shared" si="46"/>
        <v>16177.400411969105</v>
      </c>
    </row>
    <row r="248" spans="1:21" x14ac:dyDescent="0.25">
      <c r="A248" s="148">
        <f>Données!A248</f>
        <v>5830</v>
      </c>
      <c r="B248" s="149" t="str">
        <f>Données!B248</f>
        <v>Villarzel</v>
      </c>
      <c r="C248" s="392">
        <f>Données!C248</f>
        <v>524</v>
      </c>
      <c r="D248" s="379">
        <f t="shared" si="42"/>
        <v>524</v>
      </c>
      <c r="E248" s="379">
        <f t="shared" si="47"/>
        <v>0</v>
      </c>
      <c r="F248" s="388">
        <f t="shared" si="47"/>
        <v>0</v>
      </c>
      <c r="G248" s="378">
        <f t="shared" si="47"/>
        <v>0</v>
      </c>
      <c r="H248" s="379">
        <f t="shared" si="47"/>
        <v>0</v>
      </c>
      <c r="I248" s="388">
        <f t="shared" si="47"/>
        <v>0</v>
      </c>
      <c r="J248" s="388">
        <f t="shared" si="47"/>
        <v>0</v>
      </c>
      <c r="K248" s="389">
        <f t="shared" si="43"/>
        <v>0</v>
      </c>
      <c r="L248" s="394">
        <f t="shared" si="44"/>
        <v>1048</v>
      </c>
      <c r="M248" s="417">
        <f>Données!AE248</f>
        <v>0</v>
      </c>
      <c r="N248" s="394">
        <v>0</v>
      </c>
      <c r="O248" s="418">
        <f t="shared" si="37"/>
        <v>524</v>
      </c>
      <c r="P248" s="394">
        <f t="shared" si="45"/>
        <v>1048</v>
      </c>
      <c r="Q248" s="419">
        <f t="shared" si="38"/>
        <v>16155.895795379252</v>
      </c>
      <c r="R248" s="394">
        <f t="shared" si="39"/>
        <v>35306.587794373656</v>
      </c>
      <c r="S248" s="393">
        <f t="shared" si="40"/>
        <v>26307.771601731602</v>
      </c>
      <c r="T248" s="418">
        <f t="shared" si="41"/>
        <v>0</v>
      </c>
      <c r="U248" s="422">
        <f t="shared" si="46"/>
        <v>77770.25519148451</v>
      </c>
    </row>
    <row r="249" spans="1:21" x14ac:dyDescent="0.25">
      <c r="A249" s="148">
        <f>Données!A249</f>
        <v>5831</v>
      </c>
      <c r="B249" s="149" t="str">
        <f>Données!B249</f>
        <v>Valbroye</v>
      </c>
      <c r="C249" s="392">
        <f>Données!C249</f>
        <v>3435</v>
      </c>
      <c r="D249" s="379">
        <f t="shared" si="42"/>
        <v>1000</v>
      </c>
      <c r="E249" s="379">
        <f t="shared" si="47"/>
        <v>2000</v>
      </c>
      <c r="F249" s="388">
        <f t="shared" si="47"/>
        <v>435</v>
      </c>
      <c r="G249" s="378">
        <f t="shared" si="47"/>
        <v>0</v>
      </c>
      <c r="H249" s="379">
        <f t="shared" si="47"/>
        <v>0</v>
      </c>
      <c r="I249" s="388">
        <f t="shared" si="47"/>
        <v>0</v>
      </c>
      <c r="J249" s="388">
        <f t="shared" si="47"/>
        <v>0</v>
      </c>
      <c r="K249" s="389">
        <f t="shared" si="43"/>
        <v>0</v>
      </c>
      <c r="L249" s="394">
        <f t="shared" si="44"/>
        <v>9522.5</v>
      </c>
      <c r="M249" s="417">
        <f>Données!AE249</f>
        <v>0</v>
      </c>
      <c r="N249" s="394">
        <v>0</v>
      </c>
      <c r="O249" s="418">
        <f t="shared" si="37"/>
        <v>3435</v>
      </c>
      <c r="P249" s="394">
        <f t="shared" si="45"/>
        <v>9522.5</v>
      </c>
      <c r="Q249" s="419">
        <f t="shared" si="38"/>
        <v>105907.44667390789</v>
      </c>
      <c r="R249" s="394">
        <f t="shared" si="39"/>
        <v>231446.81120930059</v>
      </c>
      <c r="S249" s="393">
        <f t="shared" si="40"/>
        <v>239041.7510281385</v>
      </c>
      <c r="T249" s="418">
        <f t="shared" si="41"/>
        <v>0</v>
      </c>
      <c r="U249" s="422">
        <f t="shared" si="46"/>
        <v>576396.00891134702</v>
      </c>
    </row>
    <row r="250" spans="1:21" x14ac:dyDescent="0.25">
      <c r="A250" s="148">
        <f>Données!A250</f>
        <v>5841</v>
      </c>
      <c r="B250" s="149" t="str">
        <f>Données!B250</f>
        <v>Château-d'Oex</v>
      </c>
      <c r="C250" s="392">
        <f>Données!C250</f>
        <v>3656</v>
      </c>
      <c r="D250" s="379">
        <f t="shared" si="42"/>
        <v>1000</v>
      </c>
      <c r="E250" s="379">
        <f t="shared" si="47"/>
        <v>2000</v>
      </c>
      <c r="F250" s="388">
        <f t="shared" si="47"/>
        <v>656</v>
      </c>
      <c r="G250" s="378">
        <f t="shared" si="47"/>
        <v>0</v>
      </c>
      <c r="H250" s="379">
        <f t="shared" si="47"/>
        <v>0</v>
      </c>
      <c r="I250" s="388">
        <f t="shared" si="47"/>
        <v>0</v>
      </c>
      <c r="J250" s="388">
        <f t="shared" si="47"/>
        <v>0</v>
      </c>
      <c r="K250" s="389">
        <f t="shared" si="43"/>
        <v>0</v>
      </c>
      <c r="L250" s="394">
        <f t="shared" si="44"/>
        <v>10296</v>
      </c>
      <c r="M250" s="417">
        <f>Données!AE250</f>
        <v>0</v>
      </c>
      <c r="N250" s="394">
        <v>0</v>
      </c>
      <c r="O250" s="418">
        <f t="shared" si="37"/>
        <v>3656</v>
      </c>
      <c r="P250" s="394">
        <f t="shared" si="45"/>
        <v>10296</v>
      </c>
      <c r="Q250" s="419">
        <f t="shared" si="38"/>
        <v>112721.2882211957</v>
      </c>
      <c r="R250" s="394">
        <f t="shared" si="39"/>
        <v>246337.56674853069</v>
      </c>
      <c r="S250" s="393">
        <f t="shared" si="40"/>
        <v>258458.79428571428</v>
      </c>
      <c r="T250" s="418">
        <f t="shared" si="41"/>
        <v>0</v>
      </c>
      <c r="U250" s="422">
        <f t="shared" si="46"/>
        <v>617517.64925544069</v>
      </c>
    </row>
    <row r="251" spans="1:21" x14ac:dyDescent="0.25">
      <c r="A251" s="148">
        <f>Données!A251</f>
        <v>5842</v>
      </c>
      <c r="B251" s="149" t="str">
        <f>Données!B251</f>
        <v>Rossinière</v>
      </c>
      <c r="C251" s="392">
        <f>Données!C251</f>
        <v>499</v>
      </c>
      <c r="D251" s="379">
        <f t="shared" si="42"/>
        <v>499</v>
      </c>
      <c r="E251" s="379">
        <f t="shared" si="47"/>
        <v>0</v>
      </c>
      <c r="F251" s="388">
        <f t="shared" si="47"/>
        <v>0</v>
      </c>
      <c r="G251" s="378">
        <f t="shared" si="47"/>
        <v>0</v>
      </c>
      <c r="H251" s="379">
        <f t="shared" si="47"/>
        <v>0</v>
      </c>
      <c r="I251" s="388">
        <f t="shared" si="47"/>
        <v>0</v>
      </c>
      <c r="J251" s="388">
        <f t="shared" si="47"/>
        <v>0</v>
      </c>
      <c r="K251" s="389">
        <f t="shared" si="43"/>
        <v>0</v>
      </c>
      <c r="L251" s="394">
        <f t="shared" si="44"/>
        <v>998</v>
      </c>
      <c r="M251" s="417">
        <f>Données!AE251</f>
        <v>0</v>
      </c>
      <c r="N251" s="394">
        <v>0</v>
      </c>
      <c r="O251" s="418">
        <f t="shared" si="37"/>
        <v>499</v>
      </c>
      <c r="P251" s="394">
        <f t="shared" si="45"/>
        <v>998</v>
      </c>
      <c r="Q251" s="419">
        <f t="shared" si="38"/>
        <v>15385.099240256197</v>
      </c>
      <c r="R251" s="394">
        <f t="shared" si="39"/>
        <v>33622.113185863462</v>
      </c>
      <c r="S251" s="393">
        <f t="shared" si="40"/>
        <v>25052.629826839824</v>
      </c>
      <c r="T251" s="418">
        <f t="shared" si="41"/>
        <v>0</v>
      </c>
      <c r="U251" s="422">
        <f t="shared" si="46"/>
        <v>74059.842252959483</v>
      </c>
    </row>
    <row r="252" spans="1:21" x14ac:dyDescent="0.25">
      <c r="A252" s="148">
        <f>Données!A252</f>
        <v>5843</v>
      </c>
      <c r="B252" s="149" t="str">
        <f>Données!B252</f>
        <v>Rougemont</v>
      </c>
      <c r="C252" s="392">
        <f>Données!C252</f>
        <v>812</v>
      </c>
      <c r="D252" s="379">
        <f t="shared" si="42"/>
        <v>812</v>
      </c>
      <c r="E252" s="379">
        <f t="shared" si="47"/>
        <v>0</v>
      </c>
      <c r="F252" s="388">
        <f t="shared" si="47"/>
        <v>0</v>
      </c>
      <c r="G252" s="378">
        <f t="shared" si="47"/>
        <v>0</v>
      </c>
      <c r="H252" s="379">
        <f t="shared" si="47"/>
        <v>0</v>
      </c>
      <c r="I252" s="388">
        <f t="shared" si="47"/>
        <v>0</v>
      </c>
      <c r="J252" s="388">
        <f t="shared" si="47"/>
        <v>0</v>
      </c>
      <c r="K252" s="389">
        <f t="shared" si="43"/>
        <v>0</v>
      </c>
      <c r="L252" s="394">
        <f t="shared" si="44"/>
        <v>1624</v>
      </c>
      <c r="M252" s="417">
        <f>Données!AE252</f>
        <v>0</v>
      </c>
      <c r="N252" s="394">
        <v>0</v>
      </c>
      <c r="O252" s="418">
        <f t="shared" si="37"/>
        <v>812</v>
      </c>
      <c r="P252" s="394">
        <f t="shared" si="45"/>
        <v>1624</v>
      </c>
      <c r="Q252" s="419">
        <f t="shared" si="38"/>
        <v>25035.472110396859</v>
      </c>
      <c r="R252" s="394">
        <f t="shared" si="39"/>
        <v>54711.735284411086</v>
      </c>
      <c r="S252" s="393">
        <f t="shared" si="40"/>
        <v>40767.004848484845</v>
      </c>
      <c r="T252" s="418">
        <f t="shared" si="41"/>
        <v>0</v>
      </c>
      <c r="U252" s="422">
        <f t="shared" si="46"/>
        <v>120514.2122432928</v>
      </c>
    </row>
    <row r="253" spans="1:21" x14ac:dyDescent="0.25">
      <c r="A253" s="148">
        <f>Données!A253</f>
        <v>5851</v>
      </c>
      <c r="B253" s="149" t="str">
        <f>Données!B253</f>
        <v>Allaman</v>
      </c>
      <c r="C253" s="392">
        <f>Données!C253</f>
        <v>430</v>
      </c>
      <c r="D253" s="379">
        <f t="shared" si="42"/>
        <v>430</v>
      </c>
      <c r="E253" s="379">
        <f t="shared" si="47"/>
        <v>0</v>
      </c>
      <c r="F253" s="388">
        <f t="shared" si="47"/>
        <v>0</v>
      </c>
      <c r="G253" s="378">
        <f t="shared" si="47"/>
        <v>0</v>
      </c>
      <c r="H253" s="379">
        <f t="shared" si="47"/>
        <v>0</v>
      </c>
      <c r="I253" s="388">
        <f t="shared" si="47"/>
        <v>0</v>
      </c>
      <c r="J253" s="388">
        <f t="shared" si="47"/>
        <v>0</v>
      </c>
      <c r="K253" s="389">
        <f t="shared" si="43"/>
        <v>0</v>
      </c>
      <c r="L253" s="394">
        <f t="shared" si="44"/>
        <v>860</v>
      </c>
      <c r="M253" s="417">
        <f>Données!AE253</f>
        <v>0</v>
      </c>
      <c r="N253" s="394">
        <v>0</v>
      </c>
      <c r="O253" s="418">
        <f t="shared" si="37"/>
        <v>430</v>
      </c>
      <c r="P253" s="394">
        <f t="shared" si="45"/>
        <v>860</v>
      </c>
      <c r="Q253" s="419">
        <f t="shared" si="38"/>
        <v>13257.700748116562</v>
      </c>
      <c r="R253" s="394">
        <f t="shared" si="39"/>
        <v>28972.963266375329</v>
      </c>
      <c r="S253" s="393">
        <f t="shared" si="40"/>
        <v>21588.438528138526</v>
      </c>
      <c r="T253" s="418">
        <f t="shared" si="41"/>
        <v>0</v>
      </c>
      <c r="U253" s="422">
        <f t="shared" si="46"/>
        <v>63819.102542630419</v>
      </c>
    </row>
    <row r="254" spans="1:21" x14ac:dyDescent="0.25">
      <c r="A254" s="148">
        <f>Données!A254</f>
        <v>5852</v>
      </c>
      <c r="B254" s="149" t="str">
        <f>Données!B254</f>
        <v>Bursinel</v>
      </c>
      <c r="C254" s="392">
        <f>Données!C254</f>
        <v>530</v>
      </c>
      <c r="D254" s="379">
        <f t="shared" si="42"/>
        <v>530</v>
      </c>
      <c r="E254" s="379">
        <f t="shared" si="47"/>
        <v>0</v>
      </c>
      <c r="F254" s="388">
        <f t="shared" si="47"/>
        <v>0</v>
      </c>
      <c r="G254" s="378">
        <f t="shared" si="47"/>
        <v>0</v>
      </c>
      <c r="H254" s="379">
        <f t="shared" si="47"/>
        <v>0</v>
      </c>
      <c r="I254" s="388">
        <f t="shared" si="47"/>
        <v>0</v>
      </c>
      <c r="J254" s="388">
        <f t="shared" si="47"/>
        <v>0</v>
      </c>
      <c r="K254" s="389">
        <f t="shared" si="43"/>
        <v>0</v>
      </c>
      <c r="L254" s="394">
        <f t="shared" si="44"/>
        <v>1060</v>
      </c>
      <c r="M254" s="417">
        <f>Données!AE254</f>
        <v>0</v>
      </c>
      <c r="N254" s="394">
        <v>0</v>
      </c>
      <c r="O254" s="418">
        <f t="shared" si="37"/>
        <v>530</v>
      </c>
      <c r="P254" s="394">
        <f t="shared" si="45"/>
        <v>1060</v>
      </c>
      <c r="Q254" s="419">
        <f t="shared" si="38"/>
        <v>16340.886968608786</v>
      </c>
      <c r="R254" s="394">
        <f t="shared" si="39"/>
        <v>35710.861700416099</v>
      </c>
      <c r="S254" s="393">
        <f t="shared" si="40"/>
        <v>26609.005627705625</v>
      </c>
      <c r="T254" s="418">
        <f t="shared" si="41"/>
        <v>0</v>
      </c>
      <c r="U254" s="422">
        <f t="shared" si="46"/>
        <v>78660.754296730505</v>
      </c>
    </row>
    <row r="255" spans="1:21" x14ac:dyDescent="0.25">
      <c r="A255" s="148">
        <f>Données!A255</f>
        <v>5853</v>
      </c>
      <c r="B255" s="149" t="str">
        <f>Données!B255</f>
        <v>Bursins</v>
      </c>
      <c r="C255" s="392">
        <f>Données!C255</f>
        <v>825</v>
      </c>
      <c r="D255" s="379">
        <f t="shared" si="42"/>
        <v>825</v>
      </c>
      <c r="E255" s="379">
        <f t="shared" si="47"/>
        <v>0</v>
      </c>
      <c r="F255" s="388">
        <f t="shared" si="47"/>
        <v>0</v>
      </c>
      <c r="G255" s="378">
        <f t="shared" si="47"/>
        <v>0</v>
      </c>
      <c r="H255" s="379">
        <f t="shared" si="47"/>
        <v>0</v>
      </c>
      <c r="I255" s="388">
        <f t="shared" si="47"/>
        <v>0</v>
      </c>
      <c r="J255" s="388">
        <f t="shared" si="47"/>
        <v>0</v>
      </c>
      <c r="K255" s="389">
        <f t="shared" si="43"/>
        <v>0</v>
      </c>
      <c r="L255" s="394">
        <f t="shared" si="44"/>
        <v>1650</v>
      </c>
      <c r="M255" s="417">
        <f>Données!AE255</f>
        <v>0</v>
      </c>
      <c r="N255" s="394">
        <v>0</v>
      </c>
      <c r="O255" s="418">
        <f t="shared" si="37"/>
        <v>825</v>
      </c>
      <c r="P255" s="394">
        <f t="shared" si="45"/>
        <v>1650</v>
      </c>
      <c r="Q255" s="419">
        <f t="shared" si="38"/>
        <v>25436.286319060848</v>
      </c>
      <c r="R255" s="394">
        <f t="shared" si="39"/>
        <v>55587.662080836388</v>
      </c>
      <c r="S255" s="393">
        <f t="shared" si="40"/>
        <v>41419.678571428565</v>
      </c>
      <c r="T255" s="418">
        <f t="shared" si="41"/>
        <v>0</v>
      </c>
      <c r="U255" s="422">
        <f t="shared" si="46"/>
        <v>122443.62697132579</v>
      </c>
    </row>
    <row r="256" spans="1:21" x14ac:dyDescent="0.25">
      <c r="A256" s="148">
        <f>Données!A256</f>
        <v>5854</v>
      </c>
      <c r="B256" s="149" t="str">
        <f>Données!B256</f>
        <v>Burtigny</v>
      </c>
      <c r="C256" s="392">
        <f>Données!C256</f>
        <v>401</v>
      </c>
      <c r="D256" s="379">
        <f t="shared" si="42"/>
        <v>401</v>
      </c>
      <c r="E256" s="379">
        <f t="shared" si="47"/>
        <v>0</v>
      </c>
      <c r="F256" s="388">
        <f t="shared" si="47"/>
        <v>0</v>
      </c>
      <c r="G256" s="378">
        <f t="shared" si="47"/>
        <v>0</v>
      </c>
      <c r="H256" s="379">
        <f t="shared" si="47"/>
        <v>0</v>
      </c>
      <c r="I256" s="388">
        <f t="shared" si="47"/>
        <v>0</v>
      </c>
      <c r="J256" s="388">
        <f t="shared" si="47"/>
        <v>0</v>
      </c>
      <c r="K256" s="389">
        <f t="shared" si="43"/>
        <v>0</v>
      </c>
      <c r="L256" s="394">
        <f t="shared" si="44"/>
        <v>802</v>
      </c>
      <c r="M256" s="417">
        <f>Données!AE256</f>
        <v>0</v>
      </c>
      <c r="N256" s="394">
        <v>0</v>
      </c>
      <c r="O256" s="418">
        <f t="shared" si="37"/>
        <v>401</v>
      </c>
      <c r="P256" s="394">
        <f t="shared" si="45"/>
        <v>802</v>
      </c>
      <c r="Q256" s="419">
        <f t="shared" si="38"/>
        <v>12363.576744173817</v>
      </c>
      <c r="R256" s="394">
        <f t="shared" si="39"/>
        <v>27018.972720503505</v>
      </c>
      <c r="S256" s="393">
        <f t="shared" si="40"/>
        <v>20132.474069264066</v>
      </c>
      <c r="T256" s="418">
        <f t="shared" si="41"/>
        <v>0</v>
      </c>
      <c r="U256" s="422">
        <f t="shared" si="46"/>
        <v>59515.023533941392</v>
      </c>
    </row>
    <row r="257" spans="1:22" x14ac:dyDescent="0.25">
      <c r="A257" s="148">
        <f>Données!A257</f>
        <v>5855</v>
      </c>
      <c r="B257" s="149" t="str">
        <f>Données!B257</f>
        <v>Dully</v>
      </c>
      <c r="C257" s="392">
        <f>Données!C257</f>
        <v>623</v>
      </c>
      <c r="D257" s="379">
        <f t="shared" si="42"/>
        <v>623</v>
      </c>
      <c r="E257" s="379">
        <f t="shared" si="47"/>
        <v>0</v>
      </c>
      <c r="F257" s="388">
        <f t="shared" si="47"/>
        <v>0</v>
      </c>
      <c r="G257" s="378">
        <f t="shared" si="47"/>
        <v>0</v>
      </c>
      <c r="H257" s="379">
        <f t="shared" si="47"/>
        <v>0</v>
      </c>
      <c r="I257" s="388">
        <f t="shared" si="47"/>
        <v>0</v>
      </c>
      <c r="J257" s="388">
        <f t="shared" si="47"/>
        <v>0</v>
      </c>
      <c r="K257" s="389">
        <f t="shared" si="43"/>
        <v>0</v>
      </c>
      <c r="L257" s="394">
        <f t="shared" si="44"/>
        <v>1246</v>
      </c>
      <c r="M257" s="417">
        <f>Données!AE257</f>
        <v>0</v>
      </c>
      <c r="N257" s="394">
        <v>0</v>
      </c>
      <c r="O257" s="418">
        <f t="shared" si="37"/>
        <v>623</v>
      </c>
      <c r="P257" s="394">
        <f t="shared" si="45"/>
        <v>1246</v>
      </c>
      <c r="Q257" s="419">
        <f t="shared" si="38"/>
        <v>19208.250153666555</v>
      </c>
      <c r="R257" s="394">
        <f t="shared" si="39"/>
        <v>41977.107244074024</v>
      </c>
      <c r="S257" s="393">
        <f t="shared" si="40"/>
        <v>31278.13303030303</v>
      </c>
      <c r="T257" s="418">
        <f t="shared" si="41"/>
        <v>0</v>
      </c>
      <c r="U257" s="422">
        <f t="shared" si="46"/>
        <v>92463.490428043602</v>
      </c>
    </row>
    <row r="258" spans="1:22" x14ac:dyDescent="0.25">
      <c r="A258" s="148">
        <f>Données!A258</f>
        <v>5856</v>
      </c>
      <c r="B258" s="149" t="str">
        <f>Données!B258</f>
        <v>Essertines-sur-Rolle</v>
      </c>
      <c r="C258" s="392">
        <f>Données!C258</f>
        <v>789</v>
      </c>
      <c r="D258" s="379">
        <f t="shared" si="42"/>
        <v>789</v>
      </c>
      <c r="E258" s="379">
        <f t="shared" si="47"/>
        <v>0</v>
      </c>
      <c r="F258" s="388">
        <f t="shared" si="47"/>
        <v>0</v>
      </c>
      <c r="G258" s="378">
        <f t="shared" si="47"/>
        <v>0</v>
      </c>
      <c r="H258" s="379">
        <f t="shared" si="47"/>
        <v>0</v>
      </c>
      <c r="I258" s="388">
        <f t="shared" si="47"/>
        <v>0</v>
      </c>
      <c r="J258" s="388">
        <f t="shared" si="47"/>
        <v>0</v>
      </c>
      <c r="K258" s="389">
        <f t="shared" si="43"/>
        <v>0</v>
      </c>
      <c r="L258" s="394">
        <f t="shared" si="44"/>
        <v>1578</v>
      </c>
      <c r="M258" s="417">
        <f>Données!AE258</f>
        <v>0</v>
      </c>
      <c r="N258" s="394">
        <v>0</v>
      </c>
      <c r="O258" s="418">
        <f t="shared" si="37"/>
        <v>789</v>
      </c>
      <c r="P258" s="394">
        <f t="shared" si="45"/>
        <v>1578</v>
      </c>
      <c r="Q258" s="419">
        <f t="shared" si="38"/>
        <v>24326.339279683645</v>
      </c>
      <c r="R258" s="394">
        <f t="shared" si="39"/>
        <v>53162.018644581709</v>
      </c>
      <c r="S258" s="393">
        <f t="shared" si="40"/>
        <v>39612.274415584412</v>
      </c>
      <c r="T258" s="418">
        <f t="shared" si="41"/>
        <v>0</v>
      </c>
      <c r="U258" s="422">
        <f t="shared" si="46"/>
        <v>117100.63233984976</v>
      </c>
    </row>
    <row r="259" spans="1:22" x14ac:dyDescent="0.25">
      <c r="A259" s="148">
        <f>Données!A259</f>
        <v>5857</v>
      </c>
      <c r="B259" s="149" t="str">
        <f>Données!B259</f>
        <v>Gilly</v>
      </c>
      <c r="C259" s="392">
        <f>Données!C259</f>
        <v>1441</v>
      </c>
      <c r="D259" s="379">
        <f t="shared" si="42"/>
        <v>1000</v>
      </c>
      <c r="E259" s="379">
        <f t="shared" si="47"/>
        <v>441</v>
      </c>
      <c r="F259" s="388">
        <f t="shared" si="47"/>
        <v>0</v>
      </c>
      <c r="G259" s="378">
        <f t="shared" si="47"/>
        <v>0</v>
      </c>
      <c r="H259" s="379">
        <f t="shared" si="47"/>
        <v>0</v>
      </c>
      <c r="I259" s="388">
        <f t="shared" si="47"/>
        <v>0</v>
      </c>
      <c r="J259" s="388">
        <f t="shared" si="47"/>
        <v>0</v>
      </c>
      <c r="K259" s="389">
        <f t="shared" si="43"/>
        <v>0</v>
      </c>
      <c r="L259" s="394">
        <f t="shared" si="44"/>
        <v>3323</v>
      </c>
      <c r="M259" s="417">
        <f>Données!AE259</f>
        <v>0</v>
      </c>
      <c r="N259" s="394">
        <v>0</v>
      </c>
      <c r="O259" s="418">
        <f t="shared" si="37"/>
        <v>1441</v>
      </c>
      <c r="P259" s="394">
        <f t="shared" si="45"/>
        <v>3323</v>
      </c>
      <c r="Q259" s="419">
        <f t="shared" si="38"/>
        <v>44428.713437292943</v>
      </c>
      <c r="R259" s="394">
        <f t="shared" si="39"/>
        <v>97093.116434527547</v>
      </c>
      <c r="S259" s="393">
        <f t="shared" si="40"/>
        <v>83416.722359307358</v>
      </c>
      <c r="T259" s="418">
        <f t="shared" si="41"/>
        <v>0</v>
      </c>
      <c r="U259" s="422">
        <f t="shared" si="46"/>
        <v>224938.55223112786</v>
      </c>
    </row>
    <row r="260" spans="1:22" x14ac:dyDescent="0.25">
      <c r="A260" s="148">
        <f>Données!A260</f>
        <v>5858</v>
      </c>
      <c r="B260" s="149" t="str">
        <f>Données!B260</f>
        <v>Luins</v>
      </c>
      <c r="C260" s="392">
        <f>Données!C260</f>
        <v>637</v>
      </c>
      <c r="D260" s="379">
        <f t="shared" si="42"/>
        <v>637</v>
      </c>
      <c r="E260" s="379">
        <f t="shared" si="47"/>
        <v>0</v>
      </c>
      <c r="F260" s="388">
        <f t="shared" si="47"/>
        <v>0</v>
      </c>
      <c r="G260" s="378">
        <f t="shared" si="47"/>
        <v>0</v>
      </c>
      <c r="H260" s="379">
        <f t="shared" si="47"/>
        <v>0</v>
      </c>
      <c r="I260" s="388">
        <f t="shared" si="47"/>
        <v>0</v>
      </c>
      <c r="J260" s="388">
        <f t="shared" si="47"/>
        <v>0</v>
      </c>
      <c r="K260" s="389">
        <f t="shared" si="43"/>
        <v>0</v>
      </c>
      <c r="L260" s="394">
        <f t="shared" si="44"/>
        <v>1274</v>
      </c>
      <c r="M260" s="417">
        <f>Données!AE260</f>
        <v>0</v>
      </c>
      <c r="N260" s="394">
        <v>0</v>
      </c>
      <c r="O260" s="418">
        <f t="shared" si="37"/>
        <v>637</v>
      </c>
      <c r="P260" s="394">
        <f t="shared" si="45"/>
        <v>1274</v>
      </c>
      <c r="Q260" s="419">
        <f t="shared" si="38"/>
        <v>19639.896224535467</v>
      </c>
      <c r="R260" s="394">
        <f t="shared" si="39"/>
        <v>42920.413024839734</v>
      </c>
      <c r="S260" s="393">
        <f t="shared" si="40"/>
        <v>31981.012424242421</v>
      </c>
      <c r="T260" s="418">
        <f t="shared" si="41"/>
        <v>0</v>
      </c>
      <c r="U260" s="422">
        <f t="shared" si="46"/>
        <v>94541.321673617625</v>
      </c>
    </row>
    <row r="261" spans="1:22" x14ac:dyDescent="0.25">
      <c r="A261" s="148">
        <f>Données!A261</f>
        <v>5859</v>
      </c>
      <c r="B261" s="149" t="str">
        <f>Données!B261</f>
        <v>Mont-sur-Rolle</v>
      </c>
      <c r="C261" s="392">
        <f>Données!C261</f>
        <v>2749</v>
      </c>
      <c r="D261" s="379">
        <f t="shared" si="42"/>
        <v>1000</v>
      </c>
      <c r="E261" s="379">
        <f t="shared" si="47"/>
        <v>1749</v>
      </c>
      <c r="F261" s="388">
        <f t="shared" si="47"/>
        <v>0</v>
      </c>
      <c r="G261" s="378">
        <f t="shared" si="47"/>
        <v>0</v>
      </c>
      <c r="H261" s="379">
        <f t="shared" si="47"/>
        <v>0</v>
      </c>
      <c r="I261" s="388">
        <f t="shared" si="47"/>
        <v>0</v>
      </c>
      <c r="J261" s="388">
        <f t="shared" si="47"/>
        <v>0</v>
      </c>
      <c r="K261" s="389">
        <f t="shared" si="43"/>
        <v>0</v>
      </c>
      <c r="L261" s="394">
        <f t="shared" si="44"/>
        <v>7247</v>
      </c>
      <c r="M261" s="417">
        <f>Données!AE261</f>
        <v>0</v>
      </c>
      <c r="N261" s="394">
        <v>0</v>
      </c>
      <c r="O261" s="418">
        <f t="shared" si="37"/>
        <v>2749</v>
      </c>
      <c r="P261" s="394">
        <f t="shared" si="45"/>
        <v>7247</v>
      </c>
      <c r="Q261" s="419">
        <f t="shared" si="38"/>
        <v>84756.789201331238</v>
      </c>
      <c r="R261" s="394">
        <f t="shared" si="39"/>
        <v>185224.82795178087</v>
      </c>
      <c r="S261" s="393">
        <f t="shared" si="40"/>
        <v>181920.24885281385</v>
      </c>
      <c r="T261" s="418">
        <f t="shared" si="41"/>
        <v>0</v>
      </c>
      <c r="U261" s="422">
        <f t="shared" si="46"/>
        <v>451901.86600592593</v>
      </c>
    </row>
    <row r="262" spans="1:22" x14ac:dyDescent="0.25">
      <c r="A262" s="148">
        <f>Données!A262</f>
        <v>5860</v>
      </c>
      <c r="B262" s="149" t="str">
        <f>Données!B262</f>
        <v>Perroy</v>
      </c>
      <c r="C262" s="392">
        <f>Données!C262</f>
        <v>1588</v>
      </c>
      <c r="D262" s="379">
        <f t="shared" si="42"/>
        <v>1000</v>
      </c>
      <c r="E262" s="379">
        <f t="shared" si="47"/>
        <v>588</v>
      </c>
      <c r="F262" s="388">
        <f t="shared" si="47"/>
        <v>0</v>
      </c>
      <c r="G262" s="378">
        <f t="shared" si="47"/>
        <v>0</v>
      </c>
      <c r="H262" s="379">
        <f t="shared" si="47"/>
        <v>0</v>
      </c>
      <c r="I262" s="388">
        <f t="shared" si="47"/>
        <v>0</v>
      </c>
      <c r="J262" s="388">
        <f t="shared" si="47"/>
        <v>0</v>
      </c>
      <c r="K262" s="389">
        <f t="shared" si="43"/>
        <v>0</v>
      </c>
      <c r="L262" s="394">
        <f t="shared" si="44"/>
        <v>3764</v>
      </c>
      <c r="M262" s="417">
        <f>Données!AE262</f>
        <v>0</v>
      </c>
      <c r="N262" s="394">
        <v>0</v>
      </c>
      <c r="O262" s="418">
        <f t="shared" si="37"/>
        <v>1588</v>
      </c>
      <c r="P262" s="394">
        <f t="shared" si="45"/>
        <v>3764</v>
      </c>
      <c r="Q262" s="419">
        <f t="shared" si="38"/>
        <v>48960.997181416511</v>
      </c>
      <c r="R262" s="394">
        <f t="shared" si="39"/>
        <v>106997.82713256749</v>
      </c>
      <c r="S262" s="393">
        <f t="shared" si="40"/>
        <v>94487.072813852807</v>
      </c>
      <c r="T262" s="418">
        <f t="shared" si="41"/>
        <v>0</v>
      </c>
      <c r="U262" s="422">
        <f t="shared" si="46"/>
        <v>250445.8971278368</v>
      </c>
    </row>
    <row r="263" spans="1:22" x14ac:dyDescent="0.25">
      <c r="A263" s="148">
        <f>Données!A263</f>
        <v>5861</v>
      </c>
      <c r="B263" s="149" t="str">
        <f>Données!B263</f>
        <v>Rolle</v>
      </c>
      <c r="C263" s="392">
        <f>Données!C263</f>
        <v>6537</v>
      </c>
      <c r="D263" s="379">
        <f t="shared" si="42"/>
        <v>1000</v>
      </c>
      <c r="E263" s="379">
        <f t="shared" si="47"/>
        <v>2000</v>
      </c>
      <c r="F263" s="388">
        <f t="shared" si="47"/>
        <v>2000</v>
      </c>
      <c r="G263" s="378">
        <f t="shared" si="47"/>
        <v>1537</v>
      </c>
      <c r="H263" s="379">
        <f t="shared" si="47"/>
        <v>0</v>
      </c>
      <c r="I263" s="388">
        <f t="shared" si="47"/>
        <v>0</v>
      </c>
      <c r="J263" s="388">
        <f t="shared" si="47"/>
        <v>0</v>
      </c>
      <c r="K263" s="389">
        <f t="shared" si="43"/>
        <v>0</v>
      </c>
      <c r="L263" s="394">
        <f t="shared" si="44"/>
        <v>21148</v>
      </c>
      <c r="M263" s="417">
        <f>Données!AE263</f>
        <v>0</v>
      </c>
      <c r="N263" s="394">
        <v>0</v>
      </c>
      <c r="O263" s="418">
        <f t="shared" si="37"/>
        <v>6537</v>
      </c>
      <c r="P263" s="394">
        <f t="shared" si="45"/>
        <v>21148</v>
      </c>
      <c r="Q263" s="419">
        <f t="shared" si="38"/>
        <v>201547.88323357666</v>
      </c>
      <c r="R263" s="394">
        <f t="shared" si="39"/>
        <v>440456.42063324538</v>
      </c>
      <c r="S263" s="393">
        <f t="shared" si="40"/>
        <v>530874.76510822505</v>
      </c>
      <c r="T263" s="418">
        <f t="shared" si="41"/>
        <v>0</v>
      </c>
      <c r="U263" s="422">
        <f t="shared" si="46"/>
        <v>1172879.0689750472</v>
      </c>
    </row>
    <row r="264" spans="1:22" x14ac:dyDescent="0.25">
      <c r="A264" s="148">
        <f>Données!A264</f>
        <v>5862</v>
      </c>
      <c r="B264" s="149" t="str">
        <f>Données!B264</f>
        <v>Tartegnin</v>
      </c>
      <c r="C264" s="392">
        <f>Données!C264</f>
        <v>238</v>
      </c>
      <c r="D264" s="379">
        <f t="shared" si="42"/>
        <v>238</v>
      </c>
      <c r="E264" s="379">
        <f t="shared" si="47"/>
        <v>0</v>
      </c>
      <c r="F264" s="388">
        <f t="shared" si="47"/>
        <v>0</v>
      </c>
      <c r="G264" s="378">
        <f t="shared" si="47"/>
        <v>0</v>
      </c>
      <c r="H264" s="379">
        <f t="shared" si="47"/>
        <v>0</v>
      </c>
      <c r="I264" s="388">
        <f t="shared" si="47"/>
        <v>0</v>
      </c>
      <c r="J264" s="388">
        <f t="shared" si="47"/>
        <v>0</v>
      </c>
      <c r="K264" s="389">
        <f t="shared" si="43"/>
        <v>0</v>
      </c>
      <c r="L264" s="394">
        <f t="shared" si="44"/>
        <v>476</v>
      </c>
      <c r="M264" s="417">
        <f>Données!AE264</f>
        <v>0</v>
      </c>
      <c r="N264" s="394">
        <v>0</v>
      </c>
      <c r="O264" s="418">
        <f t="shared" ref="O264:O307" si="48">IF(N264=0,C264,0)</f>
        <v>238</v>
      </c>
      <c r="P264" s="394">
        <f t="shared" si="45"/>
        <v>476</v>
      </c>
      <c r="Q264" s="419">
        <f t="shared" ref="Q264:Q307" si="49">$Q$6/$C$308*C264</f>
        <v>7337.9832047714926</v>
      </c>
      <c r="R264" s="394">
        <f t="shared" ref="R264:R307" si="50">$R$6/$O$308*O264</f>
        <v>16036.198273017042</v>
      </c>
      <c r="S264" s="393">
        <f t="shared" ref="S264:S307" si="51">$S$6/$P$308*P264</f>
        <v>11948.949696969696</v>
      </c>
      <c r="T264" s="418">
        <f t="shared" ref="T264:T307" si="52">IF(M264&gt;N264,-R264-S264,IF(M264&lt;N264,C264*$R$311+L264*$S$311,IF(M264=N264,0,"Erreur")))</f>
        <v>0</v>
      </c>
      <c r="U264" s="422">
        <f t="shared" si="46"/>
        <v>35323.131174758229</v>
      </c>
    </row>
    <row r="265" spans="1:22" x14ac:dyDescent="0.25">
      <c r="A265" s="148">
        <f>Données!A265</f>
        <v>5863</v>
      </c>
      <c r="B265" s="149" t="str">
        <f>Données!B265</f>
        <v>Vinzel</v>
      </c>
      <c r="C265" s="392">
        <f>Données!C265</f>
        <v>387</v>
      </c>
      <c r="D265" s="379">
        <f t="shared" ref="D265:D307" si="53">IF(C265&gt;$D$5,$D$5-$D$4,C265)</f>
        <v>387</v>
      </c>
      <c r="E265" s="379">
        <f t="shared" si="47"/>
        <v>0</v>
      </c>
      <c r="F265" s="388">
        <f t="shared" si="47"/>
        <v>0</v>
      </c>
      <c r="G265" s="378">
        <f t="shared" si="47"/>
        <v>0</v>
      </c>
      <c r="H265" s="379">
        <f t="shared" si="47"/>
        <v>0</v>
      </c>
      <c r="I265" s="388">
        <f t="shared" si="47"/>
        <v>0</v>
      </c>
      <c r="J265" s="388">
        <f t="shared" si="47"/>
        <v>0</v>
      </c>
      <c r="K265" s="389">
        <f t="shared" ref="K265:K307" si="54">IF($C265&lt;K$4,0,$C265-K$4)</f>
        <v>0</v>
      </c>
      <c r="L265" s="394">
        <f t="shared" ref="L265:L307" si="55">SUMPRODUCT($D$6:$K$6,D265:K265)</f>
        <v>774</v>
      </c>
      <c r="M265" s="417">
        <f>Données!AE265</f>
        <v>0</v>
      </c>
      <c r="N265" s="394">
        <v>0</v>
      </c>
      <c r="O265" s="418">
        <f t="shared" si="48"/>
        <v>387</v>
      </c>
      <c r="P265" s="394">
        <f t="shared" ref="P265:P307" si="56">IF(N265=0,L265,0)</f>
        <v>774</v>
      </c>
      <c r="Q265" s="419">
        <f t="shared" si="49"/>
        <v>11931.930673304907</v>
      </c>
      <c r="R265" s="394">
        <f t="shared" si="50"/>
        <v>26075.666939737795</v>
      </c>
      <c r="S265" s="393">
        <f t="shared" si="51"/>
        <v>19429.594675324675</v>
      </c>
      <c r="T265" s="418">
        <f t="shared" si="52"/>
        <v>0</v>
      </c>
      <c r="U265" s="422">
        <f t="shared" ref="U265:U307" si="57">SUM(Q265:T265)</f>
        <v>57437.192288367376</v>
      </c>
    </row>
    <row r="266" spans="1:22" x14ac:dyDescent="0.25">
      <c r="A266" s="148">
        <f>Données!A266</f>
        <v>5871</v>
      </c>
      <c r="B266" s="149" t="str">
        <f>Données!B266</f>
        <v>L'Abbaye</v>
      </c>
      <c r="C266" s="392">
        <f>Données!C266</f>
        <v>1538</v>
      </c>
      <c r="D266" s="379">
        <f t="shared" si="53"/>
        <v>1000</v>
      </c>
      <c r="E266" s="379">
        <f t="shared" si="47"/>
        <v>538</v>
      </c>
      <c r="F266" s="388">
        <f t="shared" si="47"/>
        <v>0</v>
      </c>
      <c r="G266" s="378">
        <f t="shared" si="47"/>
        <v>0</v>
      </c>
      <c r="H266" s="379">
        <f t="shared" si="47"/>
        <v>0</v>
      </c>
      <c r="I266" s="388">
        <f t="shared" si="47"/>
        <v>0</v>
      </c>
      <c r="J266" s="388">
        <f t="shared" si="47"/>
        <v>0</v>
      </c>
      <c r="K266" s="389">
        <f t="shared" si="54"/>
        <v>0</v>
      </c>
      <c r="L266" s="394">
        <f t="shared" si="55"/>
        <v>3614</v>
      </c>
      <c r="M266" s="417">
        <f>Données!AE266</f>
        <v>0</v>
      </c>
      <c r="N266" s="394">
        <v>0</v>
      </c>
      <c r="O266" s="418">
        <f t="shared" si="48"/>
        <v>1538</v>
      </c>
      <c r="P266" s="394">
        <f t="shared" si="56"/>
        <v>3614</v>
      </c>
      <c r="Q266" s="419">
        <f t="shared" si="49"/>
        <v>47419.4040711704</v>
      </c>
      <c r="R266" s="394">
        <f t="shared" si="50"/>
        <v>103628.8779155471</v>
      </c>
      <c r="S266" s="393">
        <f t="shared" si="51"/>
        <v>90721.647489177485</v>
      </c>
      <c r="T266" s="418">
        <f t="shared" si="52"/>
        <v>0</v>
      </c>
      <c r="U266" s="422">
        <f t="shared" si="57"/>
        <v>241769.92947589495</v>
      </c>
    </row>
    <row r="267" spans="1:22" x14ac:dyDescent="0.25">
      <c r="A267" s="148">
        <f>Données!A267</f>
        <v>5872</v>
      </c>
      <c r="B267" s="149" t="str">
        <f>Données!B267</f>
        <v>Le Chenit</v>
      </c>
      <c r="C267" s="392">
        <f>Données!C267</f>
        <v>4760</v>
      </c>
      <c r="D267" s="379">
        <f t="shared" si="53"/>
        <v>1000</v>
      </c>
      <c r="E267" s="379">
        <f t="shared" si="47"/>
        <v>2000</v>
      </c>
      <c r="F267" s="388">
        <f t="shared" si="47"/>
        <v>1760</v>
      </c>
      <c r="G267" s="378">
        <f t="shared" si="47"/>
        <v>0</v>
      </c>
      <c r="H267" s="379">
        <f t="shared" si="47"/>
        <v>0</v>
      </c>
      <c r="I267" s="388">
        <f t="shared" si="47"/>
        <v>0</v>
      </c>
      <c r="J267" s="388">
        <f t="shared" si="47"/>
        <v>0</v>
      </c>
      <c r="K267" s="389">
        <f t="shared" si="54"/>
        <v>0</v>
      </c>
      <c r="L267" s="394">
        <f t="shared" si="55"/>
        <v>14160</v>
      </c>
      <c r="M267" s="417">
        <f>Données!AE267</f>
        <v>0</v>
      </c>
      <c r="N267" s="394">
        <v>0</v>
      </c>
      <c r="O267" s="418">
        <f t="shared" si="48"/>
        <v>4760</v>
      </c>
      <c r="P267" s="394">
        <f t="shared" si="56"/>
        <v>14160</v>
      </c>
      <c r="Q267" s="419">
        <f t="shared" si="49"/>
        <v>146759.66409542985</v>
      </c>
      <c r="R267" s="394">
        <f t="shared" si="50"/>
        <v>320723.96546034084</v>
      </c>
      <c r="S267" s="393">
        <f t="shared" si="51"/>
        <v>355456.1506493506</v>
      </c>
      <c r="T267" s="418">
        <f t="shared" si="52"/>
        <v>0</v>
      </c>
      <c r="U267" s="422">
        <f t="shared" si="57"/>
        <v>822939.78020512126</v>
      </c>
      <c r="V267" s="21"/>
    </row>
    <row r="268" spans="1:22" x14ac:dyDescent="0.25">
      <c r="A268" s="148">
        <f>Données!A268</f>
        <v>5873</v>
      </c>
      <c r="B268" s="149" t="str">
        <f>Données!B268</f>
        <v>Le Lieu</v>
      </c>
      <c r="C268" s="392">
        <f>Données!C268</f>
        <v>925</v>
      </c>
      <c r="D268" s="379">
        <f t="shared" si="53"/>
        <v>925</v>
      </c>
      <c r="E268" s="379">
        <f t="shared" si="47"/>
        <v>0</v>
      </c>
      <c r="F268" s="388">
        <f t="shared" si="47"/>
        <v>0</v>
      </c>
      <c r="G268" s="378">
        <f t="shared" si="47"/>
        <v>0</v>
      </c>
      <c r="H268" s="379">
        <f t="shared" si="47"/>
        <v>0</v>
      </c>
      <c r="I268" s="388">
        <f t="shared" si="47"/>
        <v>0</v>
      </c>
      <c r="J268" s="388">
        <f t="shared" si="47"/>
        <v>0</v>
      </c>
      <c r="K268" s="389">
        <f t="shared" si="54"/>
        <v>0</v>
      </c>
      <c r="L268" s="394">
        <f t="shared" si="55"/>
        <v>1850</v>
      </c>
      <c r="M268" s="417">
        <f>Données!AE268</f>
        <v>0</v>
      </c>
      <c r="N268" s="394">
        <v>0</v>
      </c>
      <c r="O268" s="418">
        <f t="shared" si="48"/>
        <v>925</v>
      </c>
      <c r="P268" s="394">
        <f t="shared" si="56"/>
        <v>1850</v>
      </c>
      <c r="Q268" s="419">
        <f t="shared" si="49"/>
        <v>28519.47253955307</v>
      </c>
      <c r="R268" s="394">
        <f t="shared" si="50"/>
        <v>62325.560514877157</v>
      </c>
      <c r="S268" s="393">
        <f t="shared" si="51"/>
        <v>46440.245670995668</v>
      </c>
      <c r="T268" s="418">
        <f t="shared" si="52"/>
        <v>0</v>
      </c>
      <c r="U268" s="422">
        <f t="shared" si="57"/>
        <v>137285.27872542589</v>
      </c>
    </row>
    <row r="269" spans="1:22" x14ac:dyDescent="0.25">
      <c r="A269" s="148">
        <f>Données!A269</f>
        <v>5882</v>
      </c>
      <c r="B269" s="149" t="str">
        <f>Données!B269</f>
        <v>Chardonne</v>
      </c>
      <c r="C269" s="392">
        <f>Données!C269</f>
        <v>3340</v>
      </c>
      <c r="D269" s="379">
        <f t="shared" si="53"/>
        <v>1000</v>
      </c>
      <c r="E269" s="379">
        <f t="shared" si="47"/>
        <v>2000</v>
      </c>
      <c r="F269" s="388">
        <f t="shared" si="47"/>
        <v>340</v>
      </c>
      <c r="G269" s="378">
        <f t="shared" si="47"/>
        <v>0</v>
      </c>
      <c r="H269" s="379">
        <f t="shared" si="47"/>
        <v>0</v>
      </c>
      <c r="I269" s="388">
        <f t="shared" si="47"/>
        <v>0</v>
      </c>
      <c r="J269" s="388">
        <f t="shared" si="47"/>
        <v>0</v>
      </c>
      <c r="K269" s="389">
        <f t="shared" si="54"/>
        <v>0</v>
      </c>
      <c r="L269" s="394">
        <f t="shared" si="55"/>
        <v>9190</v>
      </c>
      <c r="M269" s="417">
        <f>Données!AE269</f>
        <v>1</v>
      </c>
      <c r="N269" s="394">
        <v>1</v>
      </c>
      <c r="O269" s="418">
        <f t="shared" si="48"/>
        <v>0</v>
      </c>
      <c r="P269" s="394">
        <f t="shared" si="56"/>
        <v>0</v>
      </c>
      <c r="Q269" s="419">
        <f t="shared" si="49"/>
        <v>102978.41976444027</v>
      </c>
      <c r="R269" s="394">
        <f t="shared" si="50"/>
        <v>0</v>
      </c>
      <c r="S269" s="393">
        <f t="shared" si="51"/>
        <v>0</v>
      </c>
      <c r="T269" s="418">
        <f t="shared" si="52"/>
        <v>0</v>
      </c>
      <c r="U269" s="422">
        <f t="shared" si="57"/>
        <v>102978.41976444027</v>
      </c>
    </row>
    <row r="270" spans="1:22" x14ac:dyDescent="0.25">
      <c r="A270" s="148">
        <f>Données!A270</f>
        <v>5883</v>
      </c>
      <c r="B270" s="149" t="str">
        <f>Données!B270</f>
        <v>Corseaux</v>
      </c>
      <c r="C270" s="392">
        <f>Données!C270</f>
        <v>2322</v>
      </c>
      <c r="D270" s="379">
        <f t="shared" si="53"/>
        <v>1000</v>
      </c>
      <c r="E270" s="379">
        <f t="shared" si="47"/>
        <v>1322</v>
      </c>
      <c r="F270" s="388">
        <f t="shared" si="47"/>
        <v>0</v>
      </c>
      <c r="G270" s="378">
        <f t="shared" si="47"/>
        <v>0</v>
      </c>
      <c r="H270" s="379">
        <f t="shared" si="47"/>
        <v>0</v>
      </c>
      <c r="I270" s="388">
        <f t="shared" si="47"/>
        <v>0</v>
      </c>
      <c r="J270" s="388">
        <f t="shared" si="47"/>
        <v>0</v>
      </c>
      <c r="K270" s="389">
        <f t="shared" si="54"/>
        <v>0</v>
      </c>
      <c r="L270" s="394">
        <f t="shared" si="55"/>
        <v>5966</v>
      </c>
      <c r="M270" s="417">
        <f>Données!AE270</f>
        <v>1</v>
      </c>
      <c r="N270" s="394">
        <v>1</v>
      </c>
      <c r="O270" s="418">
        <f t="shared" si="48"/>
        <v>0</v>
      </c>
      <c r="P270" s="394">
        <f t="shared" si="56"/>
        <v>0</v>
      </c>
      <c r="Q270" s="419">
        <f t="shared" si="49"/>
        <v>71591.584039829439</v>
      </c>
      <c r="R270" s="394">
        <f t="shared" si="50"/>
        <v>0</v>
      </c>
      <c r="S270" s="393">
        <f t="shared" si="51"/>
        <v>0</v>
      </c>
      <c r="T270" s="418">
        <f t="shared" si="52"/>
        <v>0</v>
      </c>
      <c r="U270" s="422">
        <f t="shared" si="57"/>
        <v>71591.584039829439</v>
      </c>
    </row>
    <row r="271" spans="1:22" x14ac:dyDescent="0.25">
      <c r="A271" s="148">
        <f>Données!A271</f>
        <v>5884</v>
      </c>
      <c r="B271" s="149" t="str">
        <f>Données!B271</f>
        <v>Corsier-sur-Vevey</v>
      </c>
      <c r="C271" s="392">
        <f>Données!C271</f>
        <v>3389</v>
      </c>
      <c r="D271" s="379">
        <f t="shared" si="53"/>
        <v>1000</v>
      </c>
      <c r="E271" s="379">
        <f t="shared" si="47"/>
        <v>2000</v>
      </c>
      <c r="F271" s="388">
        <f t="shared" si="47"/>
        <v>389</v>
      </c>
      <c r="G271" s="378">
        <f t="shared" si="47"/>
        <v>0</v>
      </c>
      <c r="H271" s="379">
        <f t="shared" si="47"/>
        <v>0</v>
      </c>
      <c r="I271" s="388">
        <f t="shared" si="47"/>
        <v>0</v>
      </c>
      <c r="J271" s="388">
        <f t="shared" si="47"/>
        <v>0</v>
      </c>
      <c r="K271" s="389">
        <f t="shared" si="54"/>
        <v>0</v>
      </c>
      <c r="L271" s="394">
        <f t="shared" si="55"/>
        <v>9361.5</v>
      </c>
      <c r="M271" s="417">
        <f>Données!AE271</f>
        <v>1</v>
      </c>
      <c r="N271" s="394">
        <v>1</v>
      </c>
      <c r="O271" s="418">
        <f t="shared" si="48"/>
        <v>0</v>
      </c>
      <c r="P271" s="394">
        <f t="shared" si="56"/>
        <v>0</v>
      </c>
      <c r="Q271" s="419">
        <f t="shared" si="49"/>
        <v>104489.18101248147</v>
      </c>
      <c r="R271" s="394">
        <f t="shared" si="50"/>
        <v>0</v>
      </c>
      <c r="S271" s="393">
        <f t="shared" si="51"/>
        <v>0</v>
      </c>
      <c r="T271" s="418">
        <f t="shared" si="52"/>
        <v>0</v>
      </c>
      <c r="U271" s="422">
        <f t="shared" si="57"/>
        <v>104489.18101248147</v>
      </c>
    </row>
    <row r="272" spans="1:22" x14ac:dyDescent="0.25">
      <c r="A272" s="148">
        <f>Données!A272</f>
        <v>5885</v>
      </c>
      <c r="B272" s="149" t="str">
        <f>Données!B272</f>
        <v>Jongny</v>
      </c>
      <c r="C272" s="392">
        <f>Données!C272</f>
        <v>1921</v>
      </c>
      <c r="D272" s="379">
        <f t="shared" si="53"/>
        <v>1000</v>
      </c>
      <c r="E272" s="379">
        <f t="shared" si="47"/>
        <v>921</v>
      </c>
      <c r="F272" s="388">
        <f t="shared" si="47"/>
        <v>0</v>
      </c>
      <c r="G272" s="378">
        <f t="shared" si="47"/>
        <v>0</v>
      </c>
      <c r="H272" s="379">
        <f t="shared" si="47"/>
        <v>0</v>
      </c>
      <c r="I272" s="388">
        <f t="shared" si="47"/>
        <v>0</v>
      </c>
      <c r="J272" s="388">
        <f t="shared" si="47"/>
        <v>0</v>
      </c>
      <c r="K272" s="389">
        <f t="shared" si="54"/>
        <v>0</v>
      </c>
      <c r="L272" s="394">
        <f t="shared" si="55"/>
        <v>4763</v>
      </c>
      <c r="M272" s="417">
        <f>Données!AE272</f>
        <v>1</v>
      </c>
      <c r="N272" s="394">
        <v>1</v>
      </c>
      <c r="O272" s="418">
        <f t="shared" si="48"/>
        <v>0</v>
      </c>
      <c r="P272" s="394">
        <f t="shared" si="56"/>
        <v>0</v>
      </c>
      <c r="Q272" s="419">
        <f t="shared" si="49"/>
        <v>59228.007295655618</v>
      </c>
      <c r="R272" s="394">
        <f t="shared" si="50"/>
        <v>0</v>
      </c>
      <c r="S272" s="393">
        <f t="shared" si="51"/>
        <v>0</v>
      </c>
      <c r="T272" s="418">
        <f t="shared" si="52"/>
        <v>0</v>
      </c>
      <c r="U272" s="422">
        <f t="shared" si="57"/>
        <v>59228.007295655618</v>
      </c>
    </row>
    <row r="273" spans="1:21" x14ac:dyDescent="0.25">
      <c r="A273" s="148">
        <f>Données!A273</f>
        <v>5886</v>
      </c>
      <c r="B273" s="149" t="str">
        <f>Données!B273</f>
        <v>Montreux</v>
      </c>
      <c r="C273" s="392">
        <f>Données!C273</f>
        <v>26964</v>
      </c>
      <c r="D273" s="379">
        <f t="shared" si="53"/>
        <v>1000</v>
      </c>
      <c r="E273" s="379">
        <f t="shared" si="47"/>
        <v>2000</v>
      </c>
      <c r="F273" s="388">
        <f t="shared" si="47"/>
        <v>2000</v>
      </c>
      <c r="G273" s="378">
        <f t="shared" si="47"/>
        <v>7000</v>
      </c>
      <c r="H273" s="379">
        <f t="shared" si="47"/>
        <v>3000</v>
      </c>
      <c r="I273" s="388">
        <f t="shared" si="47"/>
        <v>11964</v>
      </c>
      <c r="J273" s="388">
        <f t="shared" si="47"/>
        <v>0</v>
      </c>
      <c r="K273" s="389">
        <f t="shared" si="54"/>
        <v>0</v>
      </c>
      <c r="L273" s="394">
        <f t="shared" si="55"/>
        <v>129784</v>
      </c>
      <c r="M273" s="417">
        <f>Données!AE273</f>
        <v>1</v>
      </c>
      <c r="N273" s="394">
        <v>1</v>
      </c>
      <c r="O273" s="418">
        <f t="shared" si="48"/>
        <v>0</v>
      </c>
      <c r="P273" s="394">
        <f t="shared" si="56"/>
        <v>0</v>
      </c>
      <c r="Q273" s="419">
        <f t="shared" si="49"/>
        <v>831350.33249352325</v>
      </c>
      <c r="R273" s="394">
        <f t="shared" si="50"/>
        <v>0</v>
      </c>
      <c r="S273" s="393">
        <f t="shared" si="51"/>
        <v>0</v>
      </c>
      <c r="T273" s="418">
        <f t="shared" si="52"/>
        <v>0</v>
      </c>
      <c r="U273" s="422">
        <f t="shared" si="57"/>
        <v>831350.33249352325</v>
      </c>
    </row>
    <row r="274" spans="1:21" x14ac:dyDescent="0.25">
      <c r="A274" s="148">
        <f>Données!A274</f>
        <v>5889</v>
      </c>
      <c r="B274" s="149" t="str">
        <f>Données!B274</f>
        <v>La Tour-de-Peilz</v>
      </c>
      <c r="C274" s="392">
        <f>Données!C274</f>
        <v>12812</v>
      </c>
      <c r="D274" s="379">
        <f t="shared" si="53"/>
        <v>1000</v>
      </c>
      <c r="E274" s="379">
        <f t="shared" si="47"/>
        <v>2000</v>
      </c>
      <c r="F274" s="388">
        <f t="shared" si="47"/>
        <v>2000</v>
      </c>
      <c r="G274" s="378">
        <f t="shared" si="47"/>
        <v>7000</v>
      </c>
      <c r="H274" s="379">
        <f t="shared" si="47"/>
        <v>812</v>
      </c>
      <c r="I274" s="388">
        <f t="shared" si="47"/>
        <v>0</v>
      </c>
      <c r="J274" s="388">
        <f t="shared" si="47"/>
        <v>0</v>
      </c>
      <c r="K274" s="389">
        <f t="shared" si="54"/>
        <v>0</v>
      </c>
      <c r="L274" s="394">
        <f t="shared" si="55"/>
        <v>47060</v>
      </c>
      <c r="M274" s="417">
        <f>Données!AE274</f>
        <v>1</v>
      </c>
      <c r="N274" s="394">
        <v>1</v>
      </c>
      <c r="O274" s="418">
        <f t="shared" si="48"/>
        <v>0</v>
      </c>
      <c r="P274" s="394">
        <f t="shared" si="56"/>
        <v>0</v>
      </c>
      <c r="Q274" s="419">
        <f t="shared" si="49"/>
        <v>395017.81856946374</v>
      </c>
      <c r="R274" s="394">
        <f t="shared" si="50"/>
        <v>0</v>
      </c>
      <c r="S274" s="393">
        <f t="shared" si="51"/>
        <v>0</v>
      </c>
      <c r="T274" s="418">
        <f t="shared" si="52"/>
        <v>0</v>
      </c>
      <c r="U274" s="422">
        <f t="shared" si="57"/>
        <v>395017.81856946374</v>
      </c>
    </row>
    <row r="275" spans="1:21" x14ac:dyDescent="0.25">
      <c r="A275" s="148">
        <f>Données!A275</f>
        <v>5890</v>
      </c>
      <c r="B275" s="149" t="str">
        <f>Données!B275</f>
        <v>Vevey</v>
      </c>
      <c r="C275" s="392">
        <f>Données!C275</f>
        <v>20146</v>
      </c>
      <c r="D275" s="379">
        <f t="shared" si="53"/>
        <v>1000</v>
      </c>
      <c r="E275" s="379">
        <f t="shared" si="47"/>
        <v>2000</v>
      </c>
      <c r="F275" s="388">
        <f t="shared" si="47"/>
        <v>2000</v>
      </c>
      <c r="G275" s="378">
        <f t="shared" si="47"/>
        <v>7000</v>
      </c>
      <c r="H275" s="379">
        <f t="shared" si="47"/>
        <v>3000</v>
      </c>
      <c r="I275" s="388">
        <f t="shared" si="47"/>
        <v>5146</v>
      </c>
      <c r="J275" s="388">
        <f t="shared" si="47"/>
        <v>0</v>
      </c>
      <c r="K275" s="389">
        <f t="shared" si="54"/>
        <v>0</v>
      </c>
      <c r="L275" s="394">
        <f t="shared" si="55"/>
        <v>88876</v>
      </c>
      <c r="M275" s="417">
        <f>Données!AE275</f>
        <v>1</v>
      </c>
      <c r="N275" s="394">
        <v>1</v>
      </c>
      <c r="O275" s="418">
        <f t="shared" si="48"/>
        <v>0</v>
      </c>
      <c r="P275" s="394">
        <f t="shared" si="56"/>
        <v>0</v>
      </c>
      <c r="Q275" s="419">
        <f t="shared" si="49"/>
        <v>621138.69598036341</v>
      </c>
      <c r="R275" s="394">
        <f t="shared" si="50"/>
        <v>0</v>
      </c>
      <c r="S275" s="393">
        <f t="shared" si="51"/>
        <v>0</v>
      </c>
      <c r="T275" s="418">
        <f t="shared" si="52"/>
        <v>0</v>
      </c>
      <c r="U275" s="422">
        <f t="shared" si="57"/>
        <v>621138.69598036341</v>
      </c>
    </row>
    <row r="276" spans="1:21" x14ac:dyDescent="0.25">
      <c r="A276" s="148">
        <f>Données!A276</f>
        <v>5891</v>
      </c>
      <c r="B276" s="149" t="str">
        <f>Données!B276</f>
        <v>Veytaux</v>
      </c>
      <c r="C276" s="392">
        <f>Données!C276</f>
        <v>1043</v>
      </c>
      <c r="D276" s="379">
        <f t="shared" si="53"/>
        <v>1000</v>
      </c>
      <c r="E276" s="379">
        <f t="shared" si="47"/>
        <v>43</v>
      </c>
      <c r="F276" s="388">
        <f t="shared" si="47"/>
        <v>0</v>
      </c>
      <c r="G276" s="378">
        <f t="shared" si="47"/>
        <v>0</v>
      </c>
      <c r="H276" s="379">
        <f t="shared" si="47"/>
        <v>0</v>
      </c>
      <c r="I276" s="388">
        <f t="shared" si="47"/>
        <v>0</v>
      </c>
      <c r="J276" s="388">
        <f t="shared" si="47"/>
        <v>0</v>
      </c>
      <c r="K276" s="389">
        <f t="shared" si="54"/>
        <v>0</v>
      </c>
      <c r="L276" s="394">
        <f t="shared" si="55"/>
        <v>2129</v>
      </c>
      <c r="M276" s="417">
        <f>Données!AE276</f>
        <v>1</v>
      </c>
      <c r="N276" s="394">
        <v>1</v>
      </c>
      <c r="O276" s="418">
        <f t="shared" si="48"/>
        <v>0</v>
      </c>
      <c r="P276" s="394">
        <f t="shared" si="56"/>
        <v>0</v>
      </c>
      <c r="Q276" s="419">
        <f t="shared" si="49"/>
        <v>32157.632279733894</v>
      </c>
      <c r="R276" s="394">
        <f t="shared" si="50"/>
        <v>0</v>
      </c>
      <c r="S276" s="393">
        <f t="shared" si="51"/>
        <v>0</v>
      </c>
      <c r="T276" s="418">
        <f t="shared" si="52"/>
        <v>0</v>
      </c>
      <c r="U276" s="422">
        <f t="shared" si="57"/>
        <v>32157.632279733894</v>
      </c>
    </row>
    <row r="277" spans="1:21" x14ac:dyDescent="0.25">
      <c r="A277" s="148">
        <f>Données!A277</f>
        <v>5892</v>
      </c>
      <c r="B277" s="149" t="str">
        <f>Données!B277</f>
        <v>Blonay-Saint-Légier</v>
      </c>
      <c r="C277" s="392">
        <f>Données!C277</f>
        <v>12463</v>
      </c>
      <c r="D277" s="379">
        <f t="shared" si="53"/>
        <v>1000</v>
      </c>
      <c r="E277" s="379">
        <f t="shared" si="47"/>
        <v>2000</v>
      </c>
      <c r="F277" s="388">
        <f t="shared" si="47"/>
        <v>2000</v>
      </c>
      <c r="G277" s="378">
        <f t="shared" si="47"/>
        <v>7000</v>
      </c>
      <c r="H277" s="379">
        <f t="shared" si="47"/>
        <v>463</v>
      </c>
      <c r="I277" s="388">
        <f t="shared" si="47"/>
        <v>0</v>
      </c>
      <c r="J277" s="388">
        <f t="shared" si="47"/>
        <v>0</v>
      </c>
      <c r="K277" s="389">
        <f t="shared" si="54"/>
        <v>0</v>
      </c>
      <c r="L277" s="394">
        <f t="shared" si="55"/>
        <v>45315</v>
      </c>
      <c r="M277" s="417">
        <f>Données!AE277</f>
        <v>1</v>
      </c>
      <c r="N277" s="394">
        <v>1</v>
      </c>
      <c r="O277" s="418">
        <f t="shared" si="48"/>
        <v>0</v>
      </c>
      <c r="P277" s="394">
        <f t="shared" si="56"/>
        <v>0</v>
      </c>
      <c r="Q277" s="419">
        <f t="shared" si="49"/>
        <v>384257.49865994585</v>
      </c>
      <c r="R277" s="394">
        <f t="shared" si="50"/>
        <v>0</v>
      </c>
      <c r="S277" s="393">
        <f t="shared" si="51"/>
        <v>0</v>
      </c>
      <c r="T277" s="418">
        <f t="shared" si="52"/>
        <v>0</v>
      </c>
      <c r="U277" s="422">
        <f t="shared" si="57"/>
        <v>384257.49865994585</v>
      </c>
    </row>
    <row r="278" spans="1:21" x14ac:dyDescent="0.25">
      <c r="A278" s="148">
        <f>Données!A278</f>
        <v>5902</v>
      </c>
      <c r="B278" s="149" t="str">
        <f>Données!B278</f>
        <v>Belmont-sur-Yverdon</v>
      </c>
      <c r="C278" s="392">
        <f>Données!C278</f>
        <v>445</v>
      </c>
      <c r="D278" s="379">
        <f t="shared" si="53"/>
        <v>445</v>
      </c>
      <c r="E278" s="379">
        <f t="shared" si="47"/>
        <v>0</v>
      </c>
      <c r="F278" s="388">
        <f t="shared" si="47"/>
        <v>0</v>
      </c>
      <c r="G278" s="378">
        <f t="shared" si="47"/>
        <v>0</v>
      </c>
      <c r="H278" s="379">
        <f t="shared" si="47"/>
        <v>0</v>
      </c>
      <c r="I278" s="388">
        <f t="shared" si="47"/>
        <v>0</v>
      </c>
      <c r="J278" s="388">
        <f t="shared" si="47"/>
        <v>0</v>
      </c>
      <c r="K278" s="389">
        <f t="shared" si="54"/>
        <v>0</v>
      </c>
      <c r="L278" s="394">
        <f t="shared" si="55"/>
        <v>890</v>
      </c>
      <c r="M278" s="417">
        <f>Données!AE278</f>
        <v>0</v>
      </c>
      <c r="N278" s="394">
        <v>0</v>
      </c>
      <c r="O278" s="418">
        <f t="shared" si="48"/>
        <v>445</v>
      </c>
      <c r="P278" s="394">
        <f t="shared" si="56"/>
        <v>890</v>
      </c>
      <c r="Q278" s="419">
        <f t="shared" si="49"/>
        <v>13720.178681190397</v>
      </c>
      <c r="R278" s="394">
        <f t="shared" si="50"/>
        <v>29983.648031481443</v>
      </c>
      <c r="S278" s="393">
        <f t="shared" si="51"/>
        <v>22341.523593073591</v>
      </c>
      <c r="T278" s="418">
        <f t="shared" si="52"/>
        <v>0</v>
      </c>
      <c r="U278" s="422">
        <f t="shared" si="57"/>
        <v>66045.350305745436</v>
      </c>
    </row>
    <row r="279" spans="1:21" x14ac:dyDescent="0.25">
      <c r="A279" s="148">
        <f>Données!A279</f>
        <v>5903</v>
      </c>
      <c r="B279" s="149" t="str">
        <f>Données!B279</f>
        <v>Bioley-Magnoux</v>
      </c>
      <c r="C279" s="392">
        <f>Données!C279</f>
        <v>257</v>
      </c>
      <c r="D279" s="379">
        <f t="shared" si="53"/>
        <v>257</v>
      </c>
      <c r="E279" s="379">
        <f t="shared" ref="E279:J307" si="58">IF($C279&lt;E$4,0,IF($C279&gt;E$5,E$5-E$4,$C279-E$4))</f>
        <v>0</v>
      </c>
      <c r="F279" s="388">
        <f t="shared" si="58"/>
        <v>0</v>
      </c>
      <c r="G279" s="378">
        <f t="shared" si="58"/>
        <v>0</v>
      </c>
      <c r="H279" s="379">
        <f t="shared" si="58"/>
        <v>0</v>
      </c>
      <c r="I279" s="388">
        <f t="shared" si="58"/>
        <v>0</v>
      </c>
      <c r="J279" s="388">
        <f t="shared" si="58"/>
        <v>0</v>
      </c>
      <c r="K279" s="389">
        <f t="shared" si="54"/>
        <v>0</v>
      </c>
      <c r="L279" s="394">
        <f t="shared" si="55"/>
        <v>514</v>
      </c>
      <c r="M279" s="417">
        <f>Données!AE279</f>
        <v>0</v>
      </c>
      <c r="N279" s="394">
        <v>0</v>
      </c>
      <c r="O279" s="418">
        <f t="shared" si="48"/>
        <v>257</v>
      </c>
      <c r="P279" s="394">
        <f t="shared" si="56"/>
        <v>514</v>
      </c>
      <c r="Q279" s="419">
        <f t="shared" si="49"/>
        <v>7923.7885866650149</v>
      </c>
      <c r="R279" s="394">
        <f t="shared" si="50"/>
        <v>17316.39897548479</v>
      </c>
      <c r="S279" s="393">
        <f t="shared" si="51"/>
        <v>12902.857445887445</v>
      </c>
      <c r="T279" s="418">
        <f t="shared" si="52"/>
        <v>0</v>
      </c>
      <c r="U279" s="422">
        <f t="shared" si="57"/>
        <v>38143.045008037247</v>
      </c>
    </row>
    <row r="280" spans="1:21" x14ac:dyDescent="0.25">
      <c r="A280" s="148">
        <f>Données!A280</f>
        <v>5904</v>
      </c>
      <c r="B280" s="149" t="str">
        <f>Données!B280</f>
        <v>Chamblon</v>
      </c>
      <c r="C280" s="392">
        <f>Données!C280</f>
        <v>554</v>
      </c>
      <c r="D280" s="379">
        <f t="shared" si="53"/>
        <v>554</v>
      </c>
      <c r="E280" s="379">
        <f t="shared" si="58"/>
        <v>0</v>
      </c>
      <c r="F280" s="388">
        <f t="shared" si="58"/>
        <v>0</v>
      </c>
      <c r="G280" s="378">
        <f t="shared" si="58"/>
        <v>0</v>
      </c>
      <c r="H280" s="379">
        <f t="shared" si="58"/>
        <v>0</v>
      </c>
      <c r="I280" s="388">
        <f t="shared" si="58"/>
        <v>0</v>
      </c>
      <c r="J280" s="388">
        <f t="shared" si="58"/>
        <v>0</v>
      </c>
      <c r="K280" s="389">
        <f t="shared" si="54"/>
        <v>0</v>
      </c>
      <c r="L280" s="394">
        <f t="shared" si="55"/>
        <v>1108</v>
      </c>
      <c r="M280" s="417">
        <f>Données!AE280</f>
        <v>1</v>
      </c>
      <c r="N280" s="394">
        <v>1</v>
      </c>
      <c r="O280" s="418">
        <f t="shared" si="48"/>
        <v>0</v>
      </c>
      <c r="P280" s="394">
        <f t="shared" si="56"/>
        <v>0</v>
      </c>
      <c r="Q280" s="419">
        <f t="shared" si="49"/>
        <v>17080.851661526922</v>
      </c>
      <c r="R280" s="394">
        <f t="shared" si="50"/>
        <v>0</v>
      </c>
      <c r="S280" s="393">
        <f t="shared" si="51"/>
        <v>0</v>
      </c>
      <c r="T280" s="418">
        <f t="shared" si="52"/>
        <v>0</v>
      </c>
      <c r="U280" s="422">
        <f t="shared" si="57"/>
        <v>17080.851661526922</v>
      </c>
    </row>
    <row r="281" spans="1:21" x14ac:dyDescent="0.25">
      <c r="A281" s="148">
        <f>Données!A281</f>
        <v>5905</v>
      </c>
      <c r="B281" s="149" t="str">
        <f>Données!B281</f>
        <v>Champvent</v>
      </c>
      <c r="C281" s="392">
        <f>Données!C281</f>
        <v>725</v>
      </c>
      <c r="D281" s="379">
        <f t="shared" si="53"/>
        <v>725</v>
      </c>
      <c r="E281" s="379">
        <f t="shared" si="58"/>
        <v>0</v>
      </c>
      <c r="F281" s="388">
        <f t="shared" si="58"/>
        <v>0</v>
      </c>
      <c r="G281" s="378">
        <f t="shared" si="58"/>
        <v>0</v>
      </c>
      <c r="H281" s="379">
        <f t="shared" si="58"/>
        <v>0</v>
      </c>
      <c r="I281" s="388">
        <f t="shared" si="58"/>
        <v>0</v>
      </c>
      <c r="J281" s="388">
        <f t="shared" si="58"/>
        <v>0</v>
      </c>
      <c r="K281" s="389">
        <f t="shared" si="54"/>
        <v>0</v>
      </c>
      <c r="L281" s="394">
        <f t="shared" si="55"/>
        <v>1450</v>
      </c>
      <c r="M281" s="417">
        <f>Données!AE281</f>
        <v>0</v>
      </c>
      <c r="N281" s="394">
        <v>0</v>
      </c>
      <c r="O281" s="418">
        <f t="shared" si="48"/>
        <v>725</v>
      </c>
      <c r="P281" s="394">
        <f t="shared" si="56"/>
        <v>1450</v>
      </c>
      <c r="Q281" s="419">
        <f t="shared" si="49"/>
        <v>22353.100098568622</v>
      </c>
      <c r="R281" s="394">
        <f t="shared" si="50"/>
        <v>48849.763646795611</v>
      </c>
      <c r="S281" s="393">
        <f t="shared" si="51"/>
        <v>36399.11147186147</v>
      </c>
      <c r="T281" s="418">
        <f t="shared" si="52"/>
        <v>0</v>
      </c>
      <c r="U281" s="422">
        <f t="shared" si="57"/>
        <v>107601.9752172257</v>
      </c>
    </row>
    <row r="282" spans="1:21" x14ac:dyDescent="0.25">
      <c r="A282" s="148">
        <f>Données!A282</f>
        <v>5907</v>
      </c>
      <c r="B282" s="149" t="str">
        <f>Données!B282</f>
        <v>Chavannes-le-Chêne</v>
      </c>
      <c r="C282" s="392">
        <f>Données!C282</f>
        <v>322</v>
      </c>
      <c r="D282" s="379">
        <f t="shared" si="53"/>
        <v>322</v>
      </c>
      <c r="E282" s="379">
        <f t="shared" si="58"/>
        <v>0</v>
      </c>
      <c r="F282" s="388">
        <f t="shared" si="58"/>
        <v>0</v>
      </c>
      <c r="G282" s="378">
        <f t="shared" si="58"/>
        <v>0</v>
      </c>
      <c r="H282" s="379">
        <f t="shared" si="58"/>
        <v>0</v>
      </c>
      <c r="I282" s="388">
        <f t="shared" si="58"/>
        <v>0</v>
      </c>
      <c r="J282" s="388">
        <f t="shared" si="58"/>
        <v>0</v>
      </c>
      <c r="K282" s="389">
        <f t="shared" si="54"/>
        <v>0</v>
      </c>
      <c r="L282" s="394">
        <f t="shared" si="55"/>
        <v>644</v>
      </c>
      <c r="M282" s="417">
        <f>Données!AE282</f>
        <v>0</v>
      </c>
      <c r="N282" s="394">
        <v>0</v>
      </c>
      <c r="O282" s="418">
        <f t="shared" si="48"/>
        <v>322</v>
      </c>
      <c r="P282" s="394">
        <f t="shared" si="56"/>
        <v>644</v>
      </c>
      <c r="Q282" s="419">
        <f t="shared" si="49"/>
        <v>9927.8596299849614</v>
      </c>
      <c r="R282" s="394">
        <f t="shared" si="50"/>
        <v>21696.032957611293</v>
      </c>
      <c r="S282" s="393">
        <f t="shared" si="51"/>
        <v>16166.226060606059</v>
      </c>
      <c r="T282" s="418">
        <f t="shared" si="52"/>
        <v>0</v>
      </c>
      <c r="U282" s="422">
        <f t="shared" si="57"/>
        <v>47790.118648202311</v>
      </c>
    </row>
    <row r="283" spans="1:21" x14ac:dyDescent="0.25">
      <c r="A283" s="148">
        <f>Données!A283</f>
        <v>5908</v>
      </c>
      <c r="B283" s="149" t="str">
        <f>Données!B283</f>
        <v>Chêne-Pâquier</v>
      </c>
      <c r="C283" s="392">
        <f>Données!C283</f>
        <v>173</v>
      </c>
      <c r="D283" s="379">
        <f t="shared" si="53"/>
        <v>173</v>
      </c>
      <c r="E283" s="379">
        <f t="shared" si="58"/>
        <v>0</v>
      </c>
      <c r="F283" s="388">
        <f t="shared" si="58"/>
        <v>0</v>
      </c>
      <c r="G283" s="378">
        <f t="shared" si="58"/>
        <v>0</v>
      </c>
      <c r="H283" s="379">
        <f t="shared" si="58"/>
        <v>0</v>
      </c>
      <c r="I283" s="388">
        <f t="shared" si="58"/>
        <v>0</v>
      </c>
      <c r="J283" s="388">
        <f t="shared" si="58"/>
        <v>0</v>
      </c>
      <c r="K283" s="389">
        <f t="shared" si="54"/>
        <v>0</v>
      </c>
      <c r="L283" s="394">
        <f t="shared" si="55"/>
        <v>346</v>
      </c>
      <c r="M283" s="417">
        <f>Données!AE283</f>
        <v>0</v>
      </c>
      <c r="N283" s="394">
        <v>0</v>
      </c>
      <c r="O283" s="418">
        <f t="shared" si="48"/>
        <v>173</v>
      </c>
      <c r="P283" s="394">
        <f t="shared" si="56"/>
        <v>346</v>
      </c>
      <c r="Q283" s="419">
        <f t="shared" si="49"/>
        <v>5333.912161451547</v>
      </c>
      <c r="R283" s="394">
        <f t="shared" si="50"/>
        <v>11656.564290890539</v>
      </c>
      <c r="S283" s="393">
        <f t="shared" si="51"/>
        <v>8685.5810822510812</v>
      </c>
      <c r="T283" s="418">
        <f t="shared" si="52"/>
        <v>0</v>
      </c>
      <c r="U283" s="422">
        <f t="shared" si="57"/>
        <v>25676.057534593165</v>
      </c>
    </row>
    <row r="284" spans="1:21" x14ac:dyDescent="0.25">
      <c r="A284" s="148">
        <f>Données!A284</f>
        <v>5909</v>
      </c>
      <c r="B284" s="149" t="str">
        <f>Données!B284</f>
        <v>Cheseaux-Noréaz</v>
      </c>
      <c r="C284" s="392">
        <f>Données!C284</f>
        <v>734</v>
      </c>
      <c r="D284" s="379">
        <f t="shared" si="53"/>
        <v>734</v>
      </c>
      <c r="E284" s="379">
        <f t="shared" si="58"/>
        <v>0</v>
      </c>
      <c r="F284" s="388">
        <f t="shared" si="58"/>
        <v>0</v>
      </c>
      <c r="G284" s="378">
        <f t="shared" si="58"/>
        <v>0</v>
      </c>
      <c r="H284" s="379">
        <f t="shared" si="58"/>
        <v>0</v>
      </c>
      <c r="I284" s="388">
        <f t="shared" si="58"/>
        <v>0</v>
      </c>
      <c r="J284" s="388">
        <f t="shared" si="58"/>
        <v>0</v>
      </c>
      <c r="K284" s="389">
        <f t="shared" si="54"/>
        <v>0</v>
      </c>
      <c r="L284" s="394">
        <f t="shared" si="55"/>
        <v>1468</v>
      </c>
      <c r="M284" s="417">
        <f>Données!AE284</f>
        <v>1</v>
      </c>
      <c r="N284" s="394">
        <v>1</v>
      </c>
      <c r="O284" s="418">
        <f t="shared" si="48"/>
        <v>0</v>
      </c>
      <c r="P284" s="394">
        <f t="shared" si="56"/>
        <v>0</v>
      </c>
      <c r="Q284" s="419">
        <f t="shared" si="49"/>
        <v>22630.586858412924</v>
      </c>
      <c r="R284" s="394">
        <f t="shared" si="50"/>
        <v>0</v>
      </c>
      <c r="S284" s="393">
        <f t="shared" si="51"/>
        <v>0</v>
      </c>
      <c r="T284" s="418">
        <f t="shared" si="52"/>
        <v>0</v>
      </c>
      <c r="U284" s="422">
        <f t="shared" si="57"/>
        <v>22630.586858412924</v>
      </c>
    </row>
    <row r="285" spans="1:21" x14ac:dyDescent="0.25">
      <c r="A285" s="148">
        <f>Données!A285</f>
        <v>5910</v>
      </c>
      <c r="B285" s="149" t="str">
        <f>Données!B285</f>
        <v>Cronay</v>
      </c>
      <c r="C285" s="392">
        <f>Données!C285</f>
        <v>425</v>
      </c>
      <c r="D285" s="379">
        <f t="shared" si="53"/>
        <v>425</v>
      </c>
      <c r="E285" s="379">
        <f t="shared" si="58"/>
        <v>0</v>
      </c>
      <c r="F285" s="388">
        <f t="shared" si="58"/>
        <v>0</v>
      </c>
      <c r="G285" s="378">
        <f t="shared" si="58"/>
        <v>0</v>
      </c>
      <c r="H285" s="379">
        <f t="shared" si="58"/>
        <v>0</v>
      </c>
      <c r="I285" s="388">
        <f t="shared" si="58"/>
        <v>0</v>
      </c>
      <c r="J285" s="388">
        <f t="shared" si="58"/>
        <v>0</v>
      </c>
      <c r="K285" s="389">
        <f t="shared" si="54"/>
        <v>0</v>
      </c>
      <c r="L285" s="394">
        <f t="shared" si="55"/>
        <v>850</v>
      </c>
      <c r="M285" s="417">
        <f>Données!AE285</f>
        <v>0</v>
      </c>
      <c r="N285" s="394">
        <v>0</v>
      </c>
      <c r="O285" s="418">
        <f t="shared" si="48"/>
        <v>425</v>
      </c>
      <c r="P285" s="394">
        <f t="shared" si="56"/>
        <v>850</v>
      </c>
      <c r="Q285" s="419">
        <f t="shared" si="49"/>
        <v>13103.541437091952</v>
      </c>
      <c r="R285" s="394">
        <f t="shared" si="50"/>
        <v>28636.068344673291</v>
      </c>
      <c r="S285" s="393">
        <f t="shared" si="51"/>
        <v>21337.410173160173</v>
      </c>
      <c r="T285" s="418">
        <f t="shared" si="52"/>
        <v>0</v>
      </c>
      <c r="U285" s="422">
        <f t="shared" si="57"/>
        <v>63077.019954925418</v>
      </c>
    </row>
    <row r="286" spans="1:21" x14ac:dyDescent="0.25">
      <c r="A286" s="148">
        <f>Données!A286</f>
        <v>5911</v>
      </c>
      <c r="B286" s="149" t="str">
        <f>Données!B286</f>
        <v>Cuarny</v>
      </c>
      <c r="C286" s="392">
        <f>Données!C286</f>
        <v>241</v>
      </c>
      <c r="D286" s="379">
        <f t="shared" si="53"/>
        <v>241</v>
      </c>
      <c r="E286" s="379">
        <f t="shared" si="58"/>
        <v>0</v>
      </c>
      <c r="F286" s="388">
        <f t="shared" si="58"/>
        <v>0</v>
      </c>
      <c r="G286" s="378">
        <f t="shared" si="58"/>
        <v>0</v>
      </c>
      <c r="H286" s="379">
        <f t="shared" si="58"/>
        <v>0</v>
      </c>
      <c r="I286" s="388">
        <f t="shared" si="58"/>
        <v>0</v>
      </c>
      <c r="J286" s="388">
        <f t="shared" si="58"/>
        <v>0</v>
      </c>
      <c r="K286" s="389">
        <f t="shared" si="54"/>
        <v>0</v>
      </c>
      <c r="L286" s="394">
        <f t="shared" si="55"/>
        <v>482</v>
      </c>
      <c r="M286" s="417">
        <f>Données!AE286</f>
        <v>0</v>
      </c>
      <c r="N286" s="394">
        <v>0</v>
      </c>
      <c r="O286" s="418">
        <f t="shared" si="48"/>
        <v>241</v>
      </c>
      <c r="P286" s="394">
        <f t="shared" si="56"/>
        <v>482</v>
      </c>
      <c r="Q286" s="419">
        <f t="shared" si="49"/>
        <v>7430.4787913862592</v>
      </c>
      <c r="R286" s="394">
        <f t="shared" si="50"/>
        <v>16238.335226038265</v>
      </c>
      <c r="S286" s="393">
        <f t="shared" si="51"/>
        <v>12099.566709956709</v>
      </c>
      <c r="T286" s="418">
        <f t="shared" si="52"/>
        <v>0</v>
      </c>
      <c r="U286" s="422">
        <f t="shared" si="57"/>
        <v>35768.380727381234</v>
      </c>
    </row>
    <row r="287" spans="1:21" x14ac:dyDescent="0.25">
      <c r="A287" s="148">
        <f>Données!A287</f>
        <v>5912</v>
      </c>
      <c r="B287" s="149" t="str">
        <f>Données!B287</f>
        <v>Démoret</v>
      </c>
      <c r="C287" s="392">
        <f>Données!C287</f>
        <v>172</v>
      </c>
      <c r="D287" s="379">
        <f t="shared" si="53"/>
        <v>172</v>
      </c>
      <c r="E287" s="379">
        <f t="shared" si="58"/>
        <v>0</v>
      </c>
      <c r="F287" s="388">
        <f t="shared" si="58"/>
        <v>0</v>
      </c>
      <c r="G287" s="378">
        <f t="shared" si="58"/>
        <v>0</v>
      </c>
      <c r="H287" s="379">
        <f t="shared" si="58"/>
        <v>0</v>
      </c>
      <c r="I287" s="388">
        <f t="shared" si="58"/>
        <v>0</v>
      </c>
      <c r="J287" s="388">
        <f t="shared" si="58"/>
        <v>0</v>
      </c>
      <c r="K287" s="389">
        <f t="shared" si="54"/>
        <v>0</v>
      </c>
      <c r="L287" s="394">
        <f t="shared" si="55"/>
        <v>344</v>
      </c>
      <c r="M287" s="417">
        <f>Données!AE287</f>
        <v>0</v>
      </c>
      <c r="N287" s="394">
        <v>0</v>
      </c>
      <c r="O287" s="418">
        <f t="shared" si="48"/>
        <v>172</v>
      </c>
      <c r="P287" s="394">
        <f t="shared" si="56"/>
        <v>344</v>
      </c>
      <c r="Q287" s="419">
        <f t="shared" si="49"/>
        <v>5303.0802992466251</v>
      </c>
      <c r="R287" s="394">
        <f t="shared" si="50"/>
        <v>11589.185306550131</v>
      </c>
      <c r="S287" s="393">
        <f t="shared" si="51"/>
        <v>8635.3754112554107</v>
      </c>
      <c r="T287" s="418">
        <f t="shared" si="52"/>
        <v>0</v>
      </c>
      <c r="U287" s="422">
        <f t="shared" si="57"/>
        <v>25527.641017052163</v>
      </c>
    </row>
    <row r="288" spans="1:21" x14ac:dyDescent="0.25">
      <c r="A288" s="148">
        <f>Données!A288</f>
        <v>5913</v>
      </c>
      <c r="B288" s="149" t="str">
        <f>Données!B288</f>
        <v>Donneloye</v>
      </c>
      <c r="C288" s="392">
        <f>Données!C288</f>
        <v>917</v>
      </c>
      <c r="D288" s="379">
        <f t="shared" si="53"/>
        <v>917</v>
      </c>
      <c r="E288" s="379">
        <f t="shared" si="58"/>
        <v>0</v>
      </c>
      <c r="F288" s="388">
        <f t="shared" si="58"/>
        <v>0</v>
      </c>
      <c r="G288" s="378">
        <f t="shared" si="58"/>
        <v>0</v>
      </c>
      <c r="H288" s="379">
        <f t="shared" si="58"/>
        <v>0</v>
      </c>
      <c r="I288" s="388">
        <f t="shared" si="58"/>
        <v>0</v>
      </c>
      <c r="J288" s="388">
        <f t="shared" si="58"/>
        <v>0</v>
      </c>
      <c r="K288" s="389">
        <f t="shared" si="54"/>
        <v>0</v>
      </c>
      <c r="L288" s="394">
        <f t="shared" si="55"/>
        <v>1834</v>
      </c>
      <c r="M288" s="417">
        <f>Données!AE288</f>
        <v>0</v>
      </c>
      <c r="N288" s="394">
        <v>0</v>
      </c>
      <c r="O288" s="418">
        <f t="shared" si="48"/>
        <v>917</v>
      </c>
      <c r="P288" s="394">
        <f t="shared" si="56"/>
        <v>1834</v>
      </c>
      <c r="Q288" s="419">
        <f t="shared" si="49"/>
        <v>28272.817641913694</v>
      </c>
      <c r="R288" s="394">
        <f t="shared" si="50"/>
        <v>61786.528640153898</v>
      </c>
      <c r="S288" s="393">
        <f t="shared" si="51"/>
        <v>46038.600303030296</v>
      </c>
      <c r="T288" s="418">
        <f t="shared" si="52"/>
        <v>0</v>
      </c>
      <c r="U288" s="422">
        <f t="shared" si="57"/>
        <v>136097.94658509787</v>
      </c>
    </row>
    <row r="289" spans="1:21" x14ac:dyDescent="0.25">
      <c r="A289" s="148">
        <f>Données!A289</f>
        <v>5914</v>
      </c>
      <c r="B289" s="149" t="str">
        <f>Données!B289</f>
        <v>Ependes</v>
      </c>
      <c r="C289" s="392">
        <f>Données!C289</f>
        <v>381</v>
      </c>
      <c r="D289" s="379">
        <f t="shared" si="53"/>
        <v>381</v>
      </c>
      <c r="E289" s="379">
        <f t="shared" si="58"/>
        <v>0</v>
      </c>
      <c r="F289" s="388">
        <f t="shared" si="58"/>
        <v>0</v>
      </c>
      <c r="G289" s="378">
        <f t="shared" si="58"/>
        <v>0</v>
      </c>
      <c r="H289" s="379">
        <f t="shared" si="58"/>
        <v>0</v>
      </c>
      <c r="I289" s="388">
        <f t="shared" si="58"/>
        <v>0</v>
      </c>
      <c r="J289" s="388">
        <f t="shared" si="58"/>
        <v>0</v>
      </c>
      <c r="K289" s="389">
        <f t="shared" si="54"/>
        <v>0</v>
      </c>
      <c r="L289" s="394">
        <f t="shared" si="55"/>
        <v>762</v>
      </c>
      <c r="M289" s="417">
        <f>Données!AE289</f>
        <v>1</v>
      </c>
      <c r="N289" s="394">
        <v>1</v>
      </c>
      <c r="O289" s="418">
        <f t="shared" si="48"/>
        <v>0</v>
      </c>
      <c r="P289" s="394">
        <f t="shared" si="56"/>
        <v>0</v>
      </c>
      <c r="Q289" s="419">
        <f t="shared" si="49"/>
        <v>11746.939500075372</v>
      </c>
      <c r="R289" s="394">
        <f t="shared" si="50"/>
        <v>0</v>
      </c>
      <c r="S289" s="393">
        <f t="shared" si="51"/>
        <v>0</v>
      </c>
      <c r="T289" s="418">
        <f t="shared" si="52"/>
        <v>0</v>
      </c>
      <c r="U289" s="422">
        <f t="shared" si="57"/>
        <v>11746.939500075372</v>
      </c>
    </row>
    <row r="290" spans="1:21" x14ac:dyDescent="0.25">
      <c r="A290" s="148">
        <f>Données!A290</f>
        <v>5919</v>
      </c>
      <c r="B290" s="149" t="str">
        <f>Données!B290</f>
        <v>Mathod</v>
      </c>
      <c r="C290" s="392">
        <f>Données!C290</f>
        <v>725</v>
      </c>
      <c r="D290" s="379">
        <f t="shared" si="53"/>
        <v>725</v>
      </c>
      <c r="E290" s="379">
        <f t="shared" si="58"/>
        <v>0</v>
      </c>
      <c r="F290" s="388">
        <f t="shared" si="58"/>
        <v>0</v>
      </c>
      <c r="G290" s="378">
        <f t="shared" si="58"/>
        <v>0</v>
      </c>
      <c r="H290" s="379">
        <f t="shared" si="58"/>
        <v>0</v>
      </c>
      <c r="I290" s="388">
        <f t="shared" si="58"/>
        <v>0</v>
      </c>
      <c r="J290" s="388">
        <f t="shared" si="58"/>
        <v>0</v>
      </c>
      <c r="K290" s="389">
        <f t="shared" si="54"/>
        <v>0</v>
      </c>
      <c r="L290" s="394">
        <f t="shared" si="55"/>
        <v>1450</v>
      </c>
      <c r="M290" s="417">
        <f>Données!AE290</f>
        <v>1</v>
      </c>
      <c r="N290" s="394">
        <v>1</v>
      </c>
      <c r="O290" s="418">
        <f t="shared" si="48"/>
        <v>0</v>
      </c>
      <c r="P290" s="394">
        <f t="shared" si="56"/>
        <v>0</v>
      </c>
      <c r="Q290" s="419">
        <f t="shared" si="49"/>
        <v>22353.100098568622</v>
      </c>
      <c r="R290" s="394">
        <f t="shared" si="50"/>
        <v>0</v>
      </c>
      <c r="S290" s="393">
        <f t="shared" si="51"/>
        <v>0</v>
      </c>
      <c r="T290" s="418">
        <f t="shared" si="52"/>
        <v>0</v>
      </c>
      <c r="U290" s="422">
        <f t="shared" si="57"/>
        <v>22353.100098568622</v>
      </c>
    </row>
    <row r="291" spans="1:21" x14ac:dyDescent="0.25">
      <c r="A291" s="148">
        <f>Données!A291</f>
        <v>5921</v>
      </c>
      <c r="B291" s="149" t="str">
        <f>Données!B291</f>
        <v>Molondin</v>
      </c>
      <c r="C291" s="392">
        <f>Données!C291</f>
        <v>269</v>
      </c>
      <c r="D291" s="379">
        <f t="shared" si="53"/>
        <v>269</v>
      </c>
      <c r="E291" s="379">
        <f t="shared" si="58"/>
        <v>0</v>
      </c>
      <c r="F291" s="388">
        <f t="shared" si="58"/>
        <v>0</v>
      </c>
      <c r="G291" s="378">
        <f t="shared" si="58"/>
        <v>0</v>
      </c>
      <c r="H291" s="379">
        <f t="shared" si="58"/>
        <v>0</v>
      </c>
      <c r="I291" s="388">
        <f t="shared" si="58"/>
        <v>0</v>
      </c>
      <c r="J291" s="388">
        <f t="shared" si="58"/>
        <v>0</v>
      </c>
      <c r="K291" s="389">
        <f t="shared" si="54"/>
        <v>0</v>
      </c>
      <c r="L291" s="394">
        <f t="shared" si="55"/>
        <v>538</v>
      </c>
      <c r="M291" s="417">
        <f>Données!AE291</f>
        <v>0</v>
      </c>
      <c r="N291" s="394">
        <v>0</v>
      </c>
      <c r="O291" s="418">
        <f t="shared" si="48"/>
        <v>269</v>
      </c>
      <c r="P291" s="394">
        <f t="shared" si="56"/>
        <v>538</v>
      </c>
      <c r="Q291" s="419">
        <f t="shared" si="49"/>
        <v>8293.7709331240821</v>
      </c>
      <c r="R291" s="394">
        <f t="shared" si="50"/>
        <v>18124.946787569683</v>
      </c>
      <c r="S291" s="393">
        <f t="shared" si="51"/>
        <v>13505.325497835496</v>
      </c>
      <c r="T291" s="418">
        <f t="shared" si="52"/>
        <v>0</v>
      </c>
      <c r="U291" s="422">
        <f t="shared" si="57"/>
        <v>39924.043218529259</v>
      </c>
    </row>
    <row r="292" spans="1:21" x14ac:dyDescent="0.25">
      <c r="A292" s="148">
        <f>Données!A292</f>
        <v>5922</v>
      </c>
      <c r="B292" s="149" t="str">
        <f>Données!B292</f>
        <v>Montagny-près-Yverdon</v>
      </c>
      <c r="C292" s="392">
        <f>Données!C292</f>
        <v>783</v>
      </c>
      <c r="D292" s="379">
        <f t="shared" si="53"/>
        <v>783</v>
      </c>
      <c r="E292" s="379">
        <f t="shared" si="58"/>
        <v>0</v>
      </c>
      <c r="F292" s="388">
        <f t="shared" si="58"/>
        <v>0</v>
      </c>
      <c r="G292" s="378">
        <f t="shared" si="58"/>
        <v>0</v>
      </c>
      <c r="H292" s="379">
        <f t="shared" si="58"/>
        <v>0</v>
      </c>
      <c r="I292" s="388">
        <f t="shared" si="58"/>
        <v>0</v>
      </c>
      <c r="J292" s="388">
        <f t="shared" si="58"/>
        <v>0</v>
      </c>
      <c r="K292" s="389">
        <f t="shared" si="54"/>
        <v>0</v>
      </c>
      <c r="L292" s="394">
        <f t="shared" si="55"/>
        <v>1566</v>
      </c>
      <c r="M292" s="417">
        <f>Données!AE292</f>
        <v>0</v>
      </c>
      <c r="N292" s="394">
        <v>0</v>
      </c>
      <c r="O292" s="418">
        <f t="shared" si="48"/>
        <v>783</v>
      </c>
      <c r="P292" s="394">
        <f t="shared" si="56"/>
        <v>1566</v>
      </c>
      <c r="Q292" s="419">
        <f t="shared" si="49"/>
        <v>24141.348106454112</v>
      </c>
      <c r="R292" s="394">
        <f t="shared" si="50"/>
        <v>52757.744738539259</v>
      </c>
      <c r="S292" s="393">
        <f t="shared" si="51"/>
        <v>39311.040389610389</v>
      </c>
      <c r="T292" s="418">
        <f t="shared" si="52"/>
        <v>0</v>
      </c>
      <c r="U292" s="422">
        <f t="shared" si="57"/>
        <v>116210.13323460377</v>
      </c>
    </row>
    <row r="293" spans="1:21" x14ac:dyDescent="0.25">
      <c r="A293" s="148">
        <f>Données!A293</f>
        <v>5923</v>
      </c>
      <c r="B293" s="149" t="str">
        <f>Données!B293</f>
        <v>Oppens</v>
      </c>
      <c r="C293" s="392">
        <f>Données!C293</f>
        <v>202</v>
      </c>
      <c r="D293" s="379">
        <f t="shared" si="53"/>
        <v>202</v>
      </c>
      <c r="E293" s="379">
        <f t="shared" si="58"/>
        <v>0</v>
      </c>
      <c r="F293" s="388">
        <f t="shared" si="58"/>
        <v>0</v>
      </c>
      <c r="G293" s="378">
        <f t="shared" si="58"/>
        <v>0</v>
      </c>
      <c r="H293" s="379">
        <f t="shared" si="58"/>
        <v>0</v>
      </c>
      <c r="I293" s="388">
        <f t="shared" si="58"/>
        <v>0</v>
      </c>
      <c r="J293" s="388">
        <f t="shared" si="58"/>
        <v>0</v>
      </c>
      <c r="K293" s="389">
        <f t="shared" si="54"/>
        <v>0</v>
      </c>
      <c r="L293" s="394">
        <f t="shared" si="55"/>
        <v>404</v>
      </c>
      <c r="M293" s="417">
        <f>Données!AE293</f>
        <v>0</v>
      </c>
      <c r="N293" s="394">
        <v>0</v>
      </c>
      <c r="O293" s="418">
        <f t="shared" si="48"/>
        <v>202</v>
      </c>
      <c r="P293" s="394">
        <f t="shared" si="56"/>
        <v>404</v>
      </c>
      <c r="Q293" s="419">
        <f t="shared" si="49"/>
        <v>6228.0361653942919</v>
      </c>
      <c r="R293" s="394">
        <f t="shared" si="50"/>
        <v>13610.554836762363</v>
      </c>
      <c r="S293" s="393">
        <f t="shared" si="51"/>
        <v>10141.545541125541</v>
      </c>
      <c r="T293" s="418">
        <f t="shared" si="52"/>
        <v>0</v>
      </c>
      <c r="U293" s="422">
        <f t="shared" si="57"/>
        <v>29980.136543282199</v>
      </c>
    </row>
    <row r="294" spans="1:21" x14ac:dyDescent="0.25">
      <c r="A294" s="148">
        <f>Données!A294</f>
        <v>5924</v>
      </c>
      <c r="B294" s="149" t="str">
        <f>Données!B294</f>
        <v>Orges</v>
      </c>
      <c r="C294" s="392">
        <f>Données!C294</f>
        <v>424</v>
      </c>
      <c r="D294" s="379">
        <f t="shared" si="53"/>
        <v>424</v>
      </c>
      <c r="E294" s="379">
        <f t="shared" si="58"/>
        <v>0</v>
      </c>
      <c r="F294" s="388">
        <f t="shared" si="58"/>
        <v>0</v>
      </c>
      <c r="G294" s="378">
        <f t="shared" si="58"/>
        <v>0</v>
      </c>
      <c r="H294" s="379">
        <f t="shared" si="58"/>
        <v>0</v>
      </c>
      <c r="I294" s="388">
        <f t="shared" si="58"/>
        <v>0</v>
      </c>
      <c r="J294" s="388">
        <f t="shared" si="58"/>
        <v>0</v>
      </c>
      <c r="K294" s="389">
        <f t="shared" si="54"/>
        <v>0</v>
      </c>
      <c r="L294" s="394">
        <f t="shared" si="55"/>
        <v>848</v>
      </c>
      <c r="M294" s="417">
        <f>Données!AE294</f>
        <v>0</v>
      </c>
      <c r="N294" s="394">
        <v>0</v>
      </c>
      <c r="O294" s="418">
        <f t="shared" si="48"/>
        <v>424</v>
      </c>
      <c r="P294" s="394">
        <f t="shared" si="56"/>
        <v>848</v>
      </c>
      <c r="Q294" s="419">
        <f t="shared" si="49"/>
        <v>13072.709574887029</v>
      </c>
      <c r="R294" s="394">
        <f t="shared" si="50"/>
        <v>28568.689360332883</v>
      </c>
      <c r="S294" s="393">
        <f t="shared" si="51"/>
        <v>21287.204502164499</v>
      </c>
      <c r="T294" s="418">
        <f t="shared" si="52"/>
        <v>0</v>
      </c>
      <c r="U294" s="422">
        <f t="shared" si="57"/>
        <v>62928.603437384416</v>
      </c>
    </row>
    <row r="295" spans="1:21" x14ac:dyDescent="0.25">
      <c r="A295" s="148">
        <f>Données!A295</f>
        <v>5925</v>
      </c>
      <c r="B295" s="149" t="str">
        <f>Données!B295</f>
        <v>Orzens</v>
      </c>
      <c r="C295" s="392">
        <f>Données!C295</f>
        <v>216</v>
      </c>
      <c r="D295" s="379">
        <f t="shared" si="53"/>
        <v>216</v>
      </c>
      <c r="E295" s="379">
        <f t="shared" si="58"/>
        <v>0</v>
      </c>
      <c r="F295" s="388">
        <f t="shared" si="58"/>
        <v>0</v>
      </c>
      <c r="G295" s="378">
        <f t="shared" si="58"/>
        <v>0</v>
      </c>
      <c r="H295" s="379">
        <f t="shared" si="58"/>
        <v>0</v>
      </c>
      <c r="I295" s="388">
        <f t="shared" si="58"/>
        <v>0</v>
      </c>
      <c r="J295" s="388">
        <f t="shared" si="58"/>
        <v>0</v>
      </c>
      <c r="K295" s="389">
        <f t="shared" si="54"/>
        <v>0</v>
      </c>
      <c r="L295" s="394">
        <f t="shared" si="55"/>
        <v>432</v>
      </c>
      <c r="M295" s="417">
        <f>Données!AE295</f>
        <v>0</v>
      </c>
      <c r="N295" s="394">
        <v>0</v>
      </c>
      <c r="O295" s="418">
        <f t="shared" si="48"/>
        <v>216</v>
      </c>
      <c r="P295" s="394">
        <f t="shared" si="56"/>
        <v>432</v>
      </c>
      <c r="Q295" s="419">
        <f t="shared" si="49"/>
        <v>6659.6822362632038</v>
      </c>
      <c r="R295" s="394">
        <f t="shared" si="50"/>
        <v>14553.860617528071</v>
      </c>
      <c r="S295" s="393">
        <f t="shared" si="51"/>
        <v>10844.424935064935</v>
      </c>
      <c r="T295" s="418">
        <f t="shared" si="52"/>
        <v>0</v>
      </c>
      <c r="U295" s="422">
        <f t="shared" si="57"/>
        <v>32057.967788856207</v>
      </c>
    </row>
    <row r="296" spans="1:21" x14ac:dyDescent="0.25">
      <c r="A296" s="148">
        <f>Données!A296</f>
        <v>5926</v>
      </c>
      <c r="B296" s="149" t="str">
        <f>Données!B296</f>
        <v>Pomy</v>
      </c>
      <c r="C296" s="392">
        <f>Données!C296</f>
        <v>877</v>
      </c>
      <c r="D296" s="379">
        <f t="shared" si="53"/>
        <v>877</v>
      </c>
      <c r="E296" s="379">
        <f t="shared" si="58"/>
        <v>0</v>
      </c>
      <c r="F296" s="388">
        <f t="shared" si="58"/>
        <v>0</v>
      </c>
      <c r="G296" s="378">
        <f t="shared" si="58"/>
        <v>0</v>
      </c>
      <c r="H296" s="379">
        <f t="shared" si="58"/>
        <v>0</v>
      </c>
      <c r="I296" s="388">
        <f t="shared" si="58"/>
        <v>0</v>
      </c>
      <c r="J296" s="388">
        <f t="shared" si="58"/>
        <v>0</v>
      </c>
      <c r="K296" s="389">
        <f t="shared" si="54"/>
        <v>0</v>
      </c>
      <c r="L296" s="394">
        <f t="shared" si="55"/>
        <v>1754</v>
      </c>
      <c r="M296" s="417">
        <f>Données!AE296</f>
        <v>1</v>
      </c>
      <c r="N296" s="394">
        <v>1</v>
      </c>
      <c r="O296" s="418">
        <f t="shared" si="48"/>
        <v>0</v>
      </c>
      <c r="P296" s="394">
        <f t="shared" si="56"/>
        <v>0</v>
      </c>
      <c r="Q296" s="419">
        <f t="shared" si="49"/>
        <v>27039.543153716804</v>
      </c>
      <c r="R296" s="394">
        <f t="shared" si="50"/>
        <v>0</v>
      </c>
      <c r="S296" s="393">
        <f t="shared" si="51"/>
        <v>0</v>
      </c>
      <c r="T296" s="418">
        <f t="shared" si="52"/>
        <v>0</v>
      </c>
      <c r="U296" s="422">
        <f t="shared" si="57"/>
        <v>27039.543153716804</v>
      </c>
    </row>
    <row r="297" spans="1:21" x14ac:dyDescent="0.25">
      <c r="A297" s="148">
        <f>Données!A297</f>
        <v>5928</v>
      </c>
      <c r="B297" s="149" t="str">
        <f>Données!B297</f>
        <v>Rovray</v>
      </c>
      <c r="C297" s="392">
        <f>Données!C297</f>
        <v>195</v>
      </c>
      <c r="D297" s="379">
        <f t="shared" si="53"/>
        <v>195</v>
      </c>
      <c r="E297" s="379">
        <f t="shared" si="58"/>
        <v>0</v>
      </c>
      <c r="F297" s="388">
        <f t="shared" si="58"/>
        <v>0</v>
      </c>
      <c r="G297" s="378">
        <f t="shared" si="58"/>
        <v>0</v>
      </c>
      <c r="H297" s="379">
        <f t="shared" si="58"/>
        <v>0</v>
      </c>
      <c r="I297" s="388">
        <f t="shared" si="58"/>
        <v>0</v>
      </c>
      <c r="J297" s="388">
        <f t="shared" si="58"/>
        <v>0</v>
      </c>
      <c r="K297" s="389">
        <f t="shared" si="54"/>
        <v>0</v>
      </c>
      <c r="L297" s="394">
        <f t="shared" si="55"/>
        <v>390</v>
      </c>
      <c r="M297" s="417">
        <f>Données!AE297</f>
        <v>0</v>
      </c>
      <c r="N297" s="394">
        <v>0</v>
      </c>
      <c r="O297" s="418">
        <f t="shared" si="48"/>
        <v>195</v>
      </c>
      <c r="P297" s="394">
        <f t="shared" si="56"/>
        <v>390</v>
      </c>
      <c r="Q297" s="419">
        <f t="shared" si="49"/>
        <v>6012.2131299598368</v>
      </c>
      <c r="R297" s="394">
        <f t="shared" si="50"/>
        <v>13138.901946379508</v>
      </c>
      <c r="S297" s="393">
        <f t="shared" si="51"/>
        <v>9790.1058441558434</v>
      </c>
      <c r="T297" s="418">
        <f t="shared" si="52"/>
        <v>0</v>
      </c>
      <c r="U297" s="422">
        <f t="shared" si="57"/>
        <v>28941.220920495187</v>
      </c>
    </row>
    <row r="298" spans="1:21" x14ac:dyDescent="0.25">
      <c r="A298" s="148">
        <f>Données!A298</f>
        <v>5929</v>
      </c>
      <c r="B298" s="149" t="str">
        <f>Données!B298</f>
        <v>Suchy</v>
      </c>
      <c r="C298" s="392">
        <f>Données!C298</f>
        <v>670</v>
      </c>
      <c r="D298" s="379">
        <f t="shared" si="53"/>
        <v>670</v>
      </c>
      <c r="E298" s="379">
        <f t="shared" si="58"/>
        <v>0</v>
      </c>
      <c r="F298" s="388">
        <f t="shared" si="58"/>
        <v>0</v>
      </c>
      <c r="G298" s="378">
        <f t="shared" si="58"/>
        <v>0</v>
      </c>
      <c r="H298" s="379">
        <f t="shared" si="58"/>
        <v>0</v>
      </c>
      <c r="I298" s="388">
        <f t="shared" si="58"/>
        <v>0</v>
      </c>
      <c r="J298" s="388">
        <f t="shared" si="58"/>
        <v>0</v>
      </c>
      <c r="K298" s="389">
        <f t="shared" si="54"/>
        <v>0</v>
      </c>
      <c r="L298" s="394">
        <f t="shared" si="55"/>
        <v>1340</v>
      </c>
      <c r="M298" s="417">
        <f>Données!AE298</f>
        <v>1</v>
      </c>
      <c r="N298" s="394">
        <v>1</v>
      </c>
      <c r="O298" s="418">
        <f t="shared" si="48"/>
        <v>0</v>
      </c>
      <c r="P298" s="394">
        <f t="shared" si="56"/>
        <v>0</v>
      </c>
      <c r="Q298" s="419">
        <f t="shared" si="49"/>
        <v>20657.347677297901</v>
      </c>
      <c r="R298" s="394">
        <f t="shared" si="50"/>
        <v>0</v>
      </c>
      <c r="S298" s="393">
        <f t="shared" si="51"/>
        <v>0</v>
      </c>
      <c r="T298" s="418">
        <f t="shared" si="52"/>
        <v>0</v>
      </c>
      <c r="U298" s="422">
        <f t="shared" si="57"/>
        <v>20657.347677297901</v>
      </c>
    </row>
    <row r="299" spans="1:21" x14ac:dyDescent="0.25">
      <c r="A299" s="148">
        <f>Données!A299</f>
        <v>5930</v>
      </c>
      <c r="B299" s="149" t="str">
        <f>Données!B299</f>
        <v>Suscévaz</v>
      </c>
      <c r="C299" s="392">
        <f>Données!C299</f>
        <v>237</v>
      </c>
      <c r="D299" s="379">
        <f t="shared" si="53"/>
        <v>237</v>
      </c>
      <c r="E299" s="379">
        <f t="shared" si="58"/>
        <v>0</v>
      </c>
      <c r="F299" s="388">
        <f t="shared" si="58"/>
        <v>0</v>
      </c>
      <c r="G299" s="378">
        <f t="shared" si="58"/>
        <v>0</v>
      </c>
      <c r="H299" s="379">
        <f t="shared" si="58"/>
        <v>0</v>
      </c>
      <c r="I299" s="388">
        <f t="shared" si="58"/>
        <v>0</v>
      </c>
      <c r="J299" s="388">
        <f t="shared" si="58"/>
        <v>0</v>
      </c>
      <c r="K299" s="389">
        <f t="shared" si="54"/>
        <v>0</v>
      </c>
      <c r="L299" s="394">
        <f t="shared" si="55"/>
        <v>474</v>
      </c>
      <c r="M299" s="417">
        <f>Données!AE299</f>
        <v>1</v>
      </c>
      <c r="N299" s="394">
        <v>1</v>
      </c>
      <c r="O299" s="418">
        <f t="shared" si="48"/>
        <v>0</v>
      </c>
      <c r="P299" s="394">
        <f t="shared" si="56"/>
        <v>0</v>
      </c>
      <c r="Q299" s="419">
        <f t="shared" si="49"/>
        <v>7307.1513425665707</v>
      </c>
      <c r="R299" s="394">
        <f t="shared" si="50"/>
        <v>0</v>
      </c>
      <c r="S299" s="393">
        <f t="shared" si="51"/>
        <v>0</v>
      </c>
      <c r="T299" s="418">
        <f t="shared" si="52"/>
        <v>0</v>
      </c>
      <c r="U299" s="422">
        <f t="shared" si="57"/>
        <v>7307.1513425665707</v>
      </c>
    </row>
    <row r="300" spans="1:21" x14ac:dyDescent="0.25">
      <c r="A300" s="148">
        <f>Données!A300</f>
        <v>5931</v>
      </c>
      <c r="B300" s="149" t="str">
        <f>Données!B300</f>
        <v>Treycovagnes</v>
      </c>
      <c r="C300" s="392">
        <f>Données!C300</f>
        <v>513</v>
      </c>
      <c r="D300" s="379">
        <f t="shared" si="53"/>
        <v>513</v>
      </c>
      <c r="E300" s="379">
        <f t="shared" si="58"/>
        <v>0</v>
      </c>
      <c r="F300" s="388">
        <f t="shared" si="58"/>
        <v>0</v>
      </c>
      <c r="G300" s="378">
        <f t="shared" si="58"/>
        <v>0</v>
      </c>
      <c r="H300" s="379">
        <f t="shared" si="58"/>
        <v>0</v>
      </c>
      <c r="I300" s="388">
        <f t="shared" si="58"/>
        <v>0</v>
      </c>
      <c r="J300" s="388">
        <f t="shared" si="58"/>
        <v>0</v>
      </c>
      <c r="K300" s="389">
        <f t="shared" si="54"/>
        <v>0</v>
      </c>
      <c r="L300" s="394">
        <f t="shared" si="55"/>
        <v>1026</v>
      </c>
      <c r="M300" s="417">
        <f>Données!AE300</f>
        <v>1</v>
      </c>
      <c r="N300" s="394">
        <v>1</v>
      </c>
      <c r="O300" s="418">
        <f t="shared" si="48"/>
        <v>0</v>
      </c>
      <c r="P300" s="394">
        <f t="shared" si="56"/>
        <v>0</v>
      </c>
      <c r="Q300" s="419">
        <f t="shared" si="49"/>
        <v>15816.745311125109</v>
      </c>
      <c r="R300" s="394">
        <f t="shared" si="50"/>
        <v>0</v>
      </c>
      <c r="S300" s="393">
        <f t="shared" si="51"/>
        <v>0</v>
      </c>
      <c r="T300" s="418">
        <f t="shared" si="52"/>
        <v>0</v>
      </c>
      <c r="U300" s="422">
        <f t="shared" si="57"/>
        <v>15816.745311125109</v>
      </c>
    </row>
    <row r="301" spans="1:21" x14ac:dyDescent="0.25">
      <c r="A301" s="148">
        <f>Données!A301</f>
        <v>5932</v>
      </c>
      <c r="B301" s="149" t="str">
        <f>Données!B301</f>
        <v>Ursins</v>
      </c>
      <c r="C301" s="392">
        <f>Données!C301</f>
        <v>233</v>
      </c>
      <c r="D301" s="379">
        <f t="shared" si="53"/>
        <v>233</v>
      </c>
      <c r="E301" s="379">
        <f t="shared" si="58"/>
        <v>0</v>
      </c>
      <c r="F301" s="388">
        <f t="shared" si="58"/>
        <v>0</v>
      </c>
      <c r="G301" s="378">
        <f t="shared" si="58"/>
        <v>0</v>
      </c>
      <c r="H301" s="379">
        <f t="shared" si="58"/>
        <v>0</v>
      </c>
      <c r="I301" s="388">
        <f t="shared" si="58"/>
        <v>0</v>
      </c>
      <c r="J301" s="388">
        <f t="shared" si="58"/>
        <v>0</v>
      </c>
      <c r="K301" s="389">
        <f t="shared" si="54"/>
        <v>0</v>
      </c>
      <c r="L301" s="394">
        <f t="shared" si="55"/>
        <v>466</v>
      </c>
      <c r="M301" s="417">
        <f>Données!AE301</f>
        <v>0</v>
      </c>
      <c r="N301" s="394">
        <v>0</v>
      </c>
      <c r="O301" s="418">
        <f t="shared" si="48"/>
        <v>233</v>
      </c>
      <c r="P301" s="394">
        <f t="shared" si="56"/>
        <v>466</v>
      </c>
      <c r="Q301" s="419">
        <f t="shared" si="49"/>
        <v>7183.8238937468814</v>
      </c>
      <c r="R301" s="394">
        <f t="shared" si="50"/>
        <v>15699.303351315004</v>
      </c>
      <c r="S301" s="393">
        <f t="shared" si="51"/>
        <v>11697.921341991341</v>
      </c>
      <c r="T301" s="418">
        <f t="shared" si="52"/>
        <v>0</v>
      </c>
      <c r="U301" s="422">
        <f t="shared" si="57"/>
        <v>34581.048587053228</v>
      </c>
    </row>
    <row r="302" spans="1:21" x14ac:dyDescent="0.25">
      <c r="A302" s="148">
        <f>Données!A302</f>
        <v>5933</v>
      </c>
      <c r="B302" s="149" t="str">
        <f>Données!B302</f>
        <v>Valeyres-sous-Montagny</v>
      </c>
      <c r="C302" s="392">
        <f>Données!C302</f>
        <v>706</v>
      </c>
      <c r="D302" s="379">
        <f t="shared" si="53"/>
        <v>706</v>
      </c>
      <c r="E302" s="379">
        <f t="shared" si="58"/>
        <v>0</v>
      </c>
      <c r="F302" s="388">
        <f t="shared" si="58"/>
        <v>0</v>
      </c>
      <c r="G302" s="378">
        <f t="shared" si="58"/>
        <v>0</v>
      </c>
      <c r="H302" s="379">
        <f t="shared" si="58"/>
        <v>0</v>
      </c>
      <c r="I302" s="388">
        <f t="shared" si="58"/>
        <v>0</v>
      </c>
      <c r="J302" s="388">
        <f t="shared" si="58"/>
        <v>0</v>
      </c>
      <c r="K302" s="389">
        <f t="shared" si="54"/>
        <v>0</v>
      </c>
      <c r="L302" s="394">
        <f t="shared" si="55"/>
        <v>1412</v>
      </c>
      <c r="M302" s="417">
        <f>Données!AE302</f>
        <v>0</v>
      </c>
      <c r="N302" s="394">
        <v>0</v>
      </c>
      <c r="O302" s="418">
        <f t="shared" si="48"/>
        <v>706</v>
      </c>
      <c r="P302" s="394">
        <f t="shared" si="56"/>
        <v>1412</v>
      </c>
      <c r="Q302" s="419">
        <f t="shared" si="49"/>
        <v>21767.2947166751</v>
      </c>
      <c r="R302" s="394">
        <f t="shared" si="50"/>
        <v>47569.562944327867</v>
      </c>
      <c r="S302" s="393">
        <f t="shared" si="51"/>
        <v>35445.203722943719</v>
      </c>
      <c r="T302" s="418">
        <f t="shared" si="52"/>
        <v>0</v>
      </c>
      <c r="U302" s="422">
        <f t="shared" si="57"/>
        <v>104782.06138394668</v>
      </c>
    </row>
    <row r="303" spans="1:21" x14ac:dyDescent="0.25">
      <c r="A303" s="148">
        <f>Données!A303</f>
        <v>5934</v>
      </c>
      <c r="B303" s="149" t="str">
        <f>Données!B303</f>
        <v>Valeyres-sous-Ursins</v>
      </c>
      <c r="C303" s="392">
        <f>Données!C303</f>
        <v>236</v>
      </c>
      <c r="D303" s="379">
        <f t="shared" si="53"/>
        <v>236</v>
      </c>
      <c r="E303" s="379">
        <f t="shared" si="58"/>
        <v>0</v>
      </c>
      <c r="F303" s="388">
        <f t="shared" si="58"/>
        <v>0</v>
      </c>
      <c r="G303" s="378">
        <f t="shared" si="58"/>
        <v>0</v>
      </c>
      <c r="H303" s="379">
        <f t="shared" si="58"/>
        <v>0</v>
      </c>
      <c r="I303" s="388">
        <f t="shared" si="58"/>
        <v>0</v>
      </c>
      <c r="J303" s="388">
        <f t="shared" si="58"/>
        <v>0</v>
      </c>
      <c r="K303" s="389">
        <f t="shared" si="54"/>
        <v>0</v>
      </c>
      <c r="L303" s="394">
        <f t="shared" si="55"/>
        <v>472</v>
      </c>
      <c r="M303" s="417">
        <f>Données!AE303</f>
        <v>0</v>
      </c>
      <c r="N303" s="394">
        <v>0</v>
      </c>
      <c r="O303" s="418">
        <f t="shared" si="48"/>
        <v>236</v>
      </c>
      <c r="P303" s="394">
        <f t="shared" si="56"/>
        <v>472</v>
      </c>
      <c r="Q303" s="419">
        <f t="shared" si="49"/>
        <v>7276.3194803616479</v>
      </c>
      <c r="R303" s="394">
        <f t="shared" si="50"/>
        <v>15901.440304336227</v>
      </c>
      <c r="S303" s="393">
        <f t="shared" si="51"/>
        <v>11848.538354978355</v>
      </c>
      <c r="T303" s="418">
        <f t="shared" si="52"/>
        <v>0</v>
      </c>
      <c r="U303" s="422">
        <f t="shared" si="57"/>
        <v>35026.298139676233</v>
      </c>
    </row>
    <row r="304" spans="1:21" x14ac:dyDescent="0.25">
      <c r="A304" s="148">
        <f>Données!A304</f>
        <v>5935</v>
      </c>
      <c r="B304" s="149" t="str">
        <f>Données!B304</f>
        <v>Villars-Epeney</v>
      </c>
      <c r="C304" s="392">
        <f>Données!C304</f>
        <v>108</v>
      </c>
      <c r="D304" s="379">
        <f t="shared" si="53"/>
        <v>108</v>
      </c>
      <c r="E304" s="379">
        <f t="shared" si="58"/>
        <v>0</v>
      </c>
      <c r="F304" s="388">
        <f t="shared" si="58"/>
        <v>0</v>
      </c>
      <c r="G304" s="378">
        <f t="shared" si="58"/>
        <v>0</v>
      </c>
      <c r="H304" s="379">
        <f t="shared" si="58"/>
        <v>0</v>
      </c>
      <c r="I304" s="388">
        <f t="shared" si="58"/>
        <v>0</v>
      </c>
      <c r="J304" s="388">
        <f t="shared" si="58"/>
        <v>0</v>
      </c>
      <c r="K304" s="389">
        <f t="shared" si="54"/>
        <v>0</v>
      </c>
      <c r="L304" s="394">
        <f t="shared" si="55"/>
        <v>216</v>
      </c>
      <c r="M304" s="417">
        <f>Données!AE304</f>
        <v>0</v>
      </c>
      <c r="N304" s="394">
        <v>0</v>
      </c>
      <c r="O304" s="418">
        <f t="shared" si="48"/>
        <v>108</v>
      </c>
      <c r="P304" s="394">
        <f t="shared" si="56"/>
        <v>216</v>
      </c>
      <c r="Q304" s="419">
        <f t="shared" si="49"/>
        <v>3329.8411181316019</v>
      </c>
      <c r="R304" s="394">
        <f t="shared" si="50"/>
        <v>7276.9303087640355</v>
      </c>
      <c r="S304" s="393">
        <f t="shared" si="51"/>
        <v>5422.2124675324676</v>
      </c>
      <c r="T304" s="418">
        <f t="shared" si="52"/>
        <v>0</v>
      </c>
      <c r="U304" s="422">
        <f t="shared" si="57"/>
        <v>16028.983894428104</v>
      </c>
    </row>
    <row r="305" spans="1:21" x14ac:dyDescent="0.25">
      <c r="A305" s="148">
        <f>Données!A305</f>
        <v>5937</v>
      </c>
      <c r="B305" s="149" t="str">
        <f>Données!B305</f>
        <v>Vugelles-La Mothe</v>
      </c>
      <c r="C305" s="392">
        <f>Données!C305</f>
        <v>147</v>
      </c>
      <c r="D305" s="379">
        <f t="shared" si="53"/>
        <v>147</v>
      </c>
      <c r="E305" s="379">
        <f t="shared" si="58"/>
        <v>0</v>
      </c>
      <c r="F305" s="388">
        <f t="shared" si="58"/>
        <v>0</v>
      </c>
      <c r="G305" s="378">
        <f t="shared" si="58"/>
        <v>0</v>
      </c>
      <c r="H305" s="379">
        <f t="shared" si="58"/>
        <v>0</v>
      </c>
      <c r="I305" s="388">
        <f t="shared" si="58"/>
        <v>0</v>
      </c>
      <c r="J305" s="388">
        <f t="shared" si="58"/>
        <v>0</v>
      </c>
      <c r="K305" s="389">
        <f t="shared" si="54"/>
        <v>0</v>
      </c>
      <c r="L305" s="394">
        <f t="shared" si="55"/>
        <v>294</v>
      </c>
      <c r="M305" s="417">
        <f>Données!AE305</f>
        <v>0</v>
      </c>
      <c r="N305" s="394">
        <v>0</v>
      </c>
      <c r="O305" s="418">
        <f t="shared" si="48"/>
        <v>147</v>
      </c>
      <c r="P305" s="394">
        <f t="shared" si="56"/>
        <v>294</v>
      </c>
      <c r="Q305" s="419">
        <f t="shared" si="49"/>
        <v>4532.2837441235688</v>
      </c>
      <c r="R305" s="394">
        <f t="shared" si="50"/>
        <v>9904.7106980399385</v>
      </c>
      <c r="S305" s="393">
        <f t="shared" si="51"/>
        <v>7380.2336363636359</v>
      </c>
      <c r="T305" s="418">
        <f t="shared" si="52"/>
        <v>0</v>
      </c>
      <c r="U305" s="422">
        <f t="shared" si="57"/>
        <v>21817.228078527143</v>
      </c>
    </row>
    <row r="306" spans="1:21" x14ac:dyDescent="0.25">
      <c r="A306" s="148">
        <f>Données!A306</f>
        <v>5938</v>
      </c>
      <c r="B306" s="149" t="str">
        <f>Données!B306</f>
        <v>Yverdon-les-Bains</v>
      </c>
      <c r="C306" s="392">
        <f>Données!C306</f>
        <v>30332</v>
      </c>
      <c r="D306" s="379">
        <f t="shared" si="53"/>
        <v>1000</v>
      </c>
      <c r="E306" s="379">
        <f t="shared" si="58"/>
        <v>2000</v>
      </c>
      <c r="F306" s="388">
        <f t="shared" si="58"/>
        <v>2000</v>
      </c>
      <c r="G306" s="378">
        <f t="shared" si="58"/>
        <v>7000</v>
      </c>
      <c r="H306" s="379">
        <f t="shared" si="58"/>
        <v>3000</v>
      </c>
      <c r="I306" s="388">
        <f t="shared" si="58"/>
        <v>15000</v>
      </c>
      <c r="J306" s="388">
        <f t="shared" si="58"/>
        <v>332</v>
      </c>
      <c r="K306" s="389">
        <f t="shared" si="54"/>
        <v>0</v>
      </c>
      <c r="L306" s="394">
        <f t="shared" si="55"/>
        <v>150324</v>
      </c>
      <c r="M306" s="417">
        <f>Données!AE306</f>
        <v>1</v>
      </c>
      <c r="N306" s="394">
        <v>1</v>
      </c>
      <c r="O306" s="418">
        <f t="shared" si="48"/>
        <v>0</v>
      </c>
      <c r="P306" s="394">
        <f t="shared" si="56"/>
        <v>0</v>
      </c>
      <c r="Q306" s="419">
        <f t="shared" si="49"/>
        <v>935192.04439970129</v>
      </c>
      <c r="R306" s="394">
        <f t="shared" si="50"/>
        <v>0</v>
      </c>
      <c r="S306" s="393">
        <f t="shared" si="51"/>
        <v>0</v>
      </c>
      <c r="T306" s="418">
        <f t="shared" si="52"/>
        <v>0</v>
      </c>
      <c r="U306" s="422">
        <f t="shared" si="57"/>
        <v>935192.04439970129</v>
      </c>
    </row>
    <row r="307" spans="1:21" x14ac:dyDescent="0.25">
      <c r="A307" s="150">
        <f>Données!A307</f>
        <v>5939</v>
      </c>
      <c r="B307" s="151" t="str">
        <f>Données!B307</f>
        <v>Yvonand</v>
      </c>
      <c r="C307" s="403">
        <f>Données!C307</f>
        <v>3525</v>
      </c>
      <c r="D307" s="379">
        <f t="shared" si="53"/>
        <v>1000</v>
      </c>
      <c r="E307" s="379">
        <f t="shared" si="58"/>
        <v>2000</v>
      </c>
      <c r="F307" s="388">
        <f t="shared" si="58"/>
        <v>525</v>
      </c>
      <c r="G307" s="378">
        <f t="shared" si="58"/>
        <v>0</v>
      </c>
      <c r="H307" s="379">
        <f t="shared" si="58"/>
        <v>0</v>
      </c>
      <c r="I307" s="388">
        <f t="shared" si="58"/>
        <v>0</v>
      </c>
      <c r="J307" s="388">
        <f t="shared" si="58"/>
        <v>0</v>
      </c>
      <c r="K307" s="389">
        <f t="shared" si="54"/>
        <v>0</v>
      </c>
      <c r="L307" s="394">
        <f t="shared" si="55"/>
        <v>9837.5</v>
      </c>
      <c r="M307" s="417">
        <f>Données!AE307</f>
        <v>0</v>
      </c>
      <c r="N307" s="394">
        <v>0</v>
      </c>
      <c r="O307" s="418">
        <f t="shared" si="48"/>
        <v>3525</v>
      </c>
      <c r="P307" s="394">
        <f t="shared" si="56"/>
        <v>9837.5</v>
      </c>
      <c r="Q307" s="419">
        <f t="shared" si="49"/>
        <v>108682.31427235089</v>
      </c>
      <c r="R307" s="394">
        <f t="shared" si="50"/>
        <v>237510.91979993728</v>
      </c>
      <c r="S307" s="393">
        <f t="shared" si="51"/>
        <v>246949.14420995669</v>
      </c>
      <c r="T307" s="423">
        <f t="shared" si="52"/>
        <v>0</v>
      </c>
      <c r="U307" s="424">
        <f t="shared" si="57"/>
        <v>593142.37828224478</v>
      </c>
    </row>
    <row r="308" spans="1:21" x14ac:dyDescent="0.25">
      <c r="A308" s="23"/>
      <c r="B308" s="20"/>
      <c r="C308" s="405">
        <f>SUM(C8:C307)</f>
        <v>855749</v>
      </c>
      <c r="D308" s="425">
        <f t="shared" ref="D308:K308" si="59">SUM(D8:D307)</f>
        <v>217117</v>
      </c>
      <c r="E308" s="425">
        <f t="shared" si="59"/>
        <v>176691</v>
      </c>
      <c r="F308" s="425">
        <f t="shared" si="59"/>
        <v>92389</v>
      </c>
      <c r="G308" s="425">
        <f t="shared" si="59"/>
        <v>155517</v>
      </c>
      <c r="H308" s="425">
        <f t="shared" si="59"/>
        <v>29400</v>
      </c>
      <c r="I308" s="425">
        <f t="shared" si="59"/>
        <v>69266</v>
      </c>
      <c r="J308" s="407">
        <f t="shared" si="59"/>
        <v>15332</v>
      </c>
      <c r="K308" s="407">
        <f t="shared" si="59"/>
        <v>100037</v>
      </c>
      <c r="L308" s="410">
        <f t="shared" ref="L308:U308" si="60">SUM(L8:L307)</f>
        <v>3379952.5</v>
      </c>
      <c r="M308" s="426">
        <f t="shared" si="60"/>
        <v>49</v>
      </c>
      <c r="N308" s="410">
        <f>SUM(N8:N307)</f>
        <v>49</v>
      </c>
      <c r="O308" s="427">
        <f t="shared" si="60"/>
        <v>363611</v>
      </c>
      <c r="P308" s="427">
        <f t="shared" si="60"/>
        <v>975975</v>
      </c>
      <c r="Q308" s="410">
        <f t="shared" si="60"/>
        <v>26384335.250000011</v>
      </c>
      <c r="R308" s="410">
        <f t="shared" si="60"/>
        <v>24499739.875</v>
      </c>
      <c r="S308" s="410">
        <f t="shared" si="60"/>
        <v>24499739.875000011</v>
      </c>
      <c r="T308" s="405">
        <f>SUM(T8:T307)</f>
        <v>0</v>
      </c>
      <c r="U308" s="424">
        <f t="shared" si="60"/>
        <v>75383815.000000015</v>
      </c>
    </row>
    <row r="309" spans="1:21" x14ac:dyDescent="0.25">
      <c r="D309" s="68">
        <f>COUNTIF(D8:D307,"&gt;0")</f>
        <v>300</v>
      </c>
      <c r="E309" s="68">
        <f t="shared" ref="E309:K309" si="61">COUNTIF(E8:E307,"&gt;0")</f>
        <v>141</v>
      </c>
      <c r="F309" s="68">
        <f t="shared" si="61"/>
        <v>63</v>
      </c>
      <c r="G309" s="68">
        <f t="shared" si="61"/>
        <v>35</v>
      </c>
      <c r="H309" s="68">
        <f t="shared" si="61"/>
        <v>13</v>
      </c>
      <c r="I309" s="68">
        <f t="shared" si="61"/>
        <v>8</v>
      </c>
      <c r="J309" s="68">
        <f t="shared" si="61"/>
        <v>2</v>
      </c>
      <c r="K309" s="68">
        <f t="shared" si="61"/>
        <v>1</v>
      </c>
    </row>
    <row r="310" spans="1:21" ht="30" x14ac:dyDescent="0.25">
      <c r="Q310" s="277" t="s">
        <v>523</v>
      </c>
      <c r="R310" s="277" t="s">
        <v>521</v>
      </c>
      <c r="S310" s="277" t="s">
        <v>522</v>
      </c>
    </row>
    <row r="311" spans="1:21" x14ac:dyDescent="0.25">
      <c r="Q311" s="93">
        <f>Q308/C308</f>
        <v>30.831862204922249</v>
      </c>
      <c r="R311" s="93">
        <f>R308/O308</f>
        <v>67.37898434040774</v>
      </c>
      <c r="S311" s="90">
        <f>S308/P308</f>
        <v>25.10283549783551</v>
      </c>
    </row>
  </sheetData>
  <sheetProtection sheet="1" objects="1" scenarios="1"/>
  <mergeCells count="6">
    <mergeCell ref="D7:K7"/>
    <mergeCell ref="Q4:Q5"/>
    <mergeCell ref="Q2:S2"/>
    <mergeCell ref="R4:S4"/>
    <mergeCell ref="Q3:S3"/>
    <mergeCell ref="C3:K3"/>
  </mergeCells>
  <hyperlinks>
    <hyperlink ref="C1" location="PCS!A1" display="← Précédent" xr:uid="{9A4816EC-5221-46DD-A541-113875948F23}"/>
    <hyperlink ref="D1" location="'Table des matières'!A1" display="Table des matières" xr:uid="{7D03276D-F7D4-4D40-B79D-9C04F6024799}"/>
    <hyperlink ref="E1" location="Synthèse!A1" display="Suivant →" xr:uid="{98BED1BF-BF3B-4F0E-B23E-97461C05BE03}"/>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7066-E65F-45AB-95F5-5337B953A6DD}">
  <sheetPr>
    <tabColor rgb="FFCCCCFF"/>
    <pageSetUpPr autoPageBreaks="0"/>
  </sheetPr>
  <dimension ref="A1:Z309"/>
  <sheetViews>
    <sheetView zoomScale="90" zoomScaleNormal="90" workbookViewId="0">
      <pane ySplit="7" topLeftCell="A8" activePane="bottomLeft" state="frozen"/>
      <selection pane="bottomLeft"/>
    </sheetView>
  </sheetViews>
  <sheetFormatPr baseColWidth="10" defaultRowHeight="15" x14ac:dyDescent="0.25"/>
  <cols>
    <col min="1" max="1" width="7.140625" style="1" customWidth="1"/>
    <col min="2" max="2" width="24.7109375" style="1" bestFit="1" customWidth="1"/>
    <col min="3" max="11" width="14.42578125" style="1" customWidth="1"/>
    <col min="12" max="12" width="12.5703125" style="1" customWidth="1"/>
    <col min="13" max="14" width="14.42578125" style="1" customWidth="1"/>
    <col min="15" max="19" width="4.28515625" style="1" customWidth="1"/>
    <col min="20" max="20" width="17.140625" style="1" customWidth="1"/>
    <col min="21" max="22" width="14.28515625" style="1" customWidth="1"/>
    <col min="23" max="23" width="14.85546875" style="1" bestFit="1" customWidth="1"/>
    <col min="24" max="16384" width="11.42578125" style="1"/>
  </cols>
  <sheetData>
    <row r="1" spans="1:26" s="4" customFormat="1" ht="26.25" x14ac:dyDescent="0.25">
      <c r="A1" s="8" t="s">
        <v>422</v>
      </c>
      <c r="C1" s="131" t="s">
        <v>442</v>
      </c>
      <c r="D1" s="133" t="s">
        <v>443</v>
      </c>
      <c r="E1" s="133" t="s">
        <v>499</v>
      </c>
      <c r="F1" s="133" t="s">
        <v>487</v>
      </c>
      <c r="G1" s="133" t="s">
        <v>564</v>
      </c>
    </row>
    <row r="2" spans="1:26" s="4" customFormat="1" ht="15" customHeight="1" x14ac:dyDescent="0.25">
      <c r="A2" s="65" t="str">
        <f>_xlfn.CONCAT(Paramètres!M5," ",Paramètres!N5)</f>
        <v>Décompte prévisionnel 2026</v>
      </c>
    </row>
    <row r="3" spans="1:26" s="27" customFormat="1" ht="15" customHeight="1" x14ac:dyDescent="0.25">
      <c r="A3" s="660"/>
      <c r="B3" s="660"/>
      <c r="C3" s="26"/>
    </row>
    <row r="4" spans="1:26" s="27" customFormat="1" ht="15" customHeight="1" x14ac:dyDescent="0.25">
      <c r="A4" s="660"/>
      <c r="B4" s="660"/>
      <c r="C4" s="26"/>
      <c r="D4" s="216"/>
      <c r="E4" s="216"/>
      <c r="F4" s="216"/>
      <c r="G4" s="216"/>
      <c r="H4" s="216"/>
      <c r="I4" s="216"/>
    </row>
    <row r="5" spans="1:26" s="27" customFormat="1" ht="15" customHeight="1" x14ac:dyDescent="0.25">
      <c r="A5" s="661" t="s">
        <v>0</v>
      </c>
      <c r="B5" s="661" t="s">
        <v>1</v>
      </c>
      <c r="C5" s="642" t="s">
        <v>449</v>
      </c>
      <c r="D5" s="643"/>
      <c r="E5" s="643"/>
      <c r="F5" s="644"/>
      <c r="G5" s="648" t="s">
        <v>450</v>
      </c>
      <c r="H5" s="649"/>
      <c r="I5" s="649"/>
      <c r="J5" s="650"/>
      <c r="K5" s="654" t="s">
        <v>451</v>
      </c>
      <c r="L5" s="655"/>
      <c r="M5" s="656"/>
      <c r="N5" s="113">
        <f>Paramètres!K12</f>
        <v>1</v>
      </c>
      <c r="P5" s="668" t="s">
        <v>446</v>
      </c>
      <c r="Q5" s="670" t="s">
        <v>447</v>
      </c>
      <c r="R5" s="672" t="s">
        <v>448</v>
      </c>
      <c r="S5" s="674" t="s">
        <v>483</v>
      </c>
      <c r="T5" s="664" t="s">
        <v>445</v>
      </c>
      <c r="U5" s="665"/>
      <c r="V5" s="232" t="s">
        <v>415</v>
      </c>
    </row>
    <row r="6" spans="1:26" s="4" customFormat="1" ht="15" customHeight="1" x14ac:dyDescent="0.25">
      <c r="A6" s="661"/>
      <c r="B6" s="661"/>
      <c r="C6" s="645"/>
      <c r="D6" s="646"/>
      <c r="E6" s="646"/>
      <c r="F6" s="647"/>
      <c r="G6" s="651"/>
      <c r="H6" s="652"/>
      <c r="I6" s="652"/>
      <c r="J6" s="653"/>
      <c r="K6" s="657"/>
      <c r="L6" s="658"/>
      <c r="M6" s="659"/>
      <c r="N6" s="662" t="s">
        <v>490</v>
      </c>
      <c r="O6" s="29"/>
      <c r="P6" s="669"/>
      <c r="Q6" s="671"/>
      <c r="R6" s="673"/>
      <c r="S6" s="675"/>
      <c r="T6" s="666"/>
      <c r="U6" s="667"/>
      <c r="V6" s="94" t="str">
        <f>IF(ROUND(V308,3)=ROUND(+Paramètres!G11+Paramètres!G12+Paramètres!C12+Paramètres!G6+Paramètres!K7+Police!T3,3),"OK","ERREUR")</f>
        <v>OK</v>
      </c>
    </row>
    <row r="7" spans="1:26" s="4" customFormat="1" ht="37.5" customHeight="1" x14ac:dyDescent="0.25">
      <c r="A7" s="661"/>
      <c r="B7" s="661"/>
      <c r="C7" s="242" t="s">
        <v>430</v>
      </c>
      <c r="D7" s="243" t="s">
        <v>11</v>
      </c>
      <c r="E7" s="243" t="s">
        <v>20</v>
      </c>
      <c r="F7" s="239" t="s">
        <v>21</v>
      </c>
      <c r="G7" s="240" t="s">
        <v>30</v>
      </c>
      <c r="H7" s="240" t="s">
        <v>481</v>
      </c>
      <c r="I7" s="240" t="s">
        <v>43</v>
      </c>
      <c r="J7" s="240" t="s">
        <v>21</v>
      </c>
      <c r="K7" s="241" t="s">
        <v>29</v>
      </c>
      <c r="L7" s="241" t="s">
        <v>419</v>
      </c>
      <c r="M7" s="241" t="s">
        <v>21</v>
      </c>
      <c r="N7" s="663"/>
      <c r="P7" s="676" t="s">
        <v>452</v>
      </c>
      <c r="Q7" s="677"/>
      <c r="R7" s="677"/>
      <c r="S7" s="678"/>
      <c r="T7" s="276" t="s">
        <v>398</v>
      </c>
      <c r="U7" s="280" t="s">
        <v>33</v>
      </c>
      <c r="V7" s="267" t="s">
        <v>21</v>
      </c>
    </row>
    <row r="8" spans="1:26" ht="15" customHeight="1" x14ac:dyDescent="0.25">
      <c r="A8" s="206">
        <f>Données!A8</f>
        <v>5401</v>
      </c>
      <c r="B8" s="207" t="str">
        <f>Données!B8</f>
        <v>Aigle</v>
      </c>
      <c r="C8" s="373">
        <f>Ressources!H8</f>
        <v>-14717382.612426493</v>
      </c>
      <c r="D8" s="373">
        <f>Ressources!L8</f>
        <v>0</v>
      </c>
      <c r="E8" s="428">
        <f>Ressources!T8</f>
        <v>-706061.3484954515</v>
      </c>
      <c r="F8" s="375">
        <f>SUM(C8:E8)</f>
        <v>-15423443.960921945</v>
      </c>
      <c r="G8" s="373">
        <f>'Besoins structurels'!I8</f>
        <v>0</v>
      </c>
      <c r="H8" s="373">
        <f>'Besoins structurels'!N8</f>
        <v>-206</v>
      </c>
      <c r="I8" s="373">
        <f>'Besoins structurels'!V8</f>
        <v>0</v>
      </c>
      <c r="J8" s="377">
        <f>SUM(G8:I8)</f>
        <v>-206</v>
      </c>
      <c r="K8" s="373">
        <f>'Charges des villes'!N8</f>
        <v>283859.338693358</v>
      </c>
      <c r="L8" s="373">
        <f>'Charges des villes'!U8</f>
        <v>254663.21966908698</v>
      </c>
      <c r="M8" s="376">
        <f>SUM(K8:L8)</f>
        <v>538522.55836244498</v>
      </c>
      <c r="N8" s="375">
        <f>-VLOOKUP(A8,Paramètres!$B$23:$C$322,2,FALSE)*$N$5</f>
        <v>0</v>
      </c>
      <c r="O8" s="408"/>
      <c r="P8" s="639">
        <f>F8+J8+M8+N8</f>
        <v>-14885127.4025595</v>
      </c>
      <c r="Q8" s="640"/>
      <c r="R8" s="640"/>
      <c r="S8" s="641"/>
      <c r="T8" s="388">
        <f>PCS!D8</f>
        <v>11590980.314998908</v>
      </c>
      <c r="U8" s="379">
        <f>Police!U8</f>
        <v>363199.33677398396</v>
      </c>
      <c r="V8" s="429">
        <f>P8+T8+U8</f>
        <v>-2930947.7507866081</v>
      </c>
      <c r="W8" s="229"/>
      <c r="X8" s="229"/>
      <c r="Y8" s="229"/>
      <c r="Z8" s="99"/>
    </row>
    <row r="9" spans="1:26" ht="15" customHeight="1" x14ac:dyDescent="0.25">
      <c r="A9" s="208">
        <f>Données!A9</f>
        <v>5402</v>
      </c>
      <c r="B9" s="209" t="str">
        <f>Données!B9</f>
        <v>Bex</v>
      </c>
      <c r="C9" s="387">
        <f>Ressources!H9</f>
        <v>-12670332.982203681</v>
      </c>
      <c r="D9" s="387">
        <f>Ressources!L9</f>
        <v>-226014</v>
      </c>
      <c r="E9" s="430">
        <f>Ressources!T9</f>
        <v>-611380.43857902754</v>
      </c>
      <c r="F9" s="388">
        <f t="shared" ref="F9:F72" si="0">SUM(C9:E9)</f>
        <v>-13507727.420782708</v>
      </c>
      <c r="G9" s="387">
        <f>'Besoins structurels'!I9</f>
        <v>0</v>
      </c>
      <c r="H9" s="387">
        <f>'Besoins structurels'!N9</f>
        <v>-209598</v>
      </c>
      <c r="I9" s="387">
        <f>'Besoins structurels'!V9</f>
        <v>0</v>
      </c>
      <c r="J9" s="389">
        <f t="shared" ref="J9:J72" si="1">SUM(G9:I9)</f>
        <v>-209598</v>
      </c>
      <c r="K9" s="387">
        <f>'Charges des villes'!N9</f>
        <v>494061.43249682896</v>
      </c>
      <c r="L9" s="387">
        <f>'Charges des villes'!U9</f>
        <v>451049.06706332607</v>
      </c>
      <c r="M9" s="378">
        <f t="shared" ref="M9:M72" si="2">SUM(K9:L9)</f>
        <v>945110.49956015497</v>
      </c>
      <c r="N9" s="388">
        <f>-VLOOKUP(A9,Paramètres!$B$23:$C$322,2,FALSE)*$N$5</f>
        <v>-147500</v>
      </c>
      <c r="O9" s="408"/>
      <c r="P9" s="639">
        <f t="shared" ref="P9:P72" si="3">F9+J9+M9+N9</f>
        <v>-12919714.921222553</v>
      </c>
      <c r="Q9" s="640"/>
      <c r="R9" s="640"/>
      <c r="S9" s="641"/>
      <c r="T9" s="388">
        <f>PCS!D9</f>
        <v>8664700.564845534</v>
      </c>
      <c r="U9" s="379">
        <f>Police!U9</f>
        <v>271505.37857654522</v>
      </c>
      <c r="V9" s="431">
        <f t="shared" ref="V9:V72" si="4">P9+T9+U9</f>
        <v>-3983508.9778004736</v>
      </c>
      <c r="W9" s="229"/>
      <c r="X9" s="229"/>
      <c r="Y9" s="229"/>
      <c r="Z9" s="99"/>
    </row>
    <row r="10" spans="1:26" x14ac:dyDescent="0.25">
      <c r="A10" s="208">
        <f>Données!A10</f>
        <v>5403</v>
      </c>
      <c r="B10" s="209" t="str">
        <f>Données!B10</f>
        <v>Chessel</v>
      </c>
      <c r="C10" s="387">
        <f>Ressources!H10</f>
        <v>-755917.8530584987</v>
      </c>
      <c r="D10" s="387">
        <f>Ressources!L10</f>
        <v>-12606</v>
      </c>
      <c r="E10" s="430">
        <f>Ressources!T10</f>
        <v>-18789.074981799524</v>
      </c>
      <c r="F10" s="388">
        <f t="shared" si="0"/>
        <v>-787312.92804029817</v>
      </c>
      <c r="G10" s="387">
        <f>'Besoins structurels'!I10</f>
        <v>0</v>
      </c>
      <c r="H10" s="387">
        <f>'Besoins structurels'!N10</f>
        <v>0</v>
      </c>
      <c r="I10" s="387">
        <f>'Besoins structurels'!V10</f>
        <v>-37507</v>
      </c>
      <c r="J10" s="389">
        <f t="shared" si="1"/>
        <v>-37507</v>
      </c>
      <c r="K10" s="387">
        <f>'Charges des villes'!N10</f>
        <v>243393.16633073747</v>
      </c>
      <c r="L10" s="387">
        <f>'Charges des villes'!U10</f>
        <v>53403.516535252798</v>
      </c>
      <c r="M10" s="378">
        <f t="shared" si="2"/>
        <v>296796.68286599027</v>
      </c>
      <c r="N10" s="388">
        <f>-VLOOKUP(A10,Paramètres!$B$23:$C$322,2,FALSE)*$N$5</f>
        <v>0</v>
      </c>
      <c r="O10" s="408"/>
      <c r="P10" s="639">
        <f t="shared" si="3"/>
        <v>-528023.24517430784</v>
      </c>
      <c r="Q10" s="640"/>
      <c r="R10" s="640"/>
      <c r="S10" s="641"/>
      <c r="T10" s="388">
        <f>PCS!D10</f>
        <v>519527.81038365222</v>
      </c>
      <c r="U10" s="379">
        <f>Police!U10</f>
        <v>78363.921261648517</v>
      </c>
      <c r="V10" s="431">
        <f t="shared" si="4"/>
        <v>69868.486470992895</v>
      </c>
      <c r="W10" s="229"/>
      <c r="X10" s="229"/>
      <c r="Y10" s="229"/>
      <c r="Z10" s="99"/>
    </row>
    <row r="11" spans="1:26" x14ac:dyDescent="0.25">
      <c r="A11" s="208">
        <f>Données!A11</f>
        <v>5404</v>
      </c>
      <c r="B11" s="209" t="str">
        <f>Données!B11</f>
        <v>Corbeyrier</v>
      </c>
      <c r="C11" s="387">
        <f>Ressources!H11</f>
        <v>-547467.30027658725</v>
      </c>
      <c r="D11" s="387">
        <f>Ressources!L11</f>
        <v>0</v>
      </c>
      <c r="E11" s="430">
        <f>Ressources!T11</f>
        <v>-58106.345249570797</v>
      </c>
      <c r="F11" s="388">
        <f t="shared" si="0"/>
        <v>-605573.64552615804</v>
      </c>
      <c r="G11" s="387">
        <f>'Besoins structurels'!I11</f>
        <v>-181181</v>
      </c>
      <c r="H11" s="387">
        <f>'Besoins structurels'!N11</f>
        <v>-171637</v>
      </c>
      <c r="I11" s="387">
        <f>'Besoins structurels'!V11</f>
        <v>0</v>
      </c>
      <c r="J11" s="389">
        <f t="shared" si="1"/>
        <v>-352818</v>
      </c>
      <c r="K11" s="387">
        <f>'Charges des villes'!N11</f>
        <v>208359.30148010101</v>
      </c>
      <c r="L11" s="387">
        <f>'Charges des villes'!U11</f>
        <v>45716.646730936111</v>
      </c>
      <c r="M11" s="378">
        <f t="shared" si="2"/>
        <v>254075.94821103712</v>
      </c>
      <c r="N11" s="388">
        <f>-VLOOKUP(A11,Paramètres!$B$23:$C$322,2,FALSE)*$N$5</f>
        <v>0</v>
      </c>
      <c r="O11" s="408"/>
      <c r="P11" s="639">
        <f t="shared" si="3"/>
        <v>-704315.69731512095</v>
      </c>
      <c r="Q11" s="640"/>
      <c r="R11" s="640"/>
      <c r="S11" s="641"/>
      <c r="T11" s="388">
        <f>PCS!D11</f>
        <v>444747.29222236894</v>
      </c>
      <c r="U11" s="379">
        <f>Police!U11</f>
        <v>67084.265928532433</v>
      </c>
      <c r="V11" s="431">
        <f t="shared" si="4"/>
        <v>-192484.13916421958</v>
      </c>
      <c r="W11" s="229"/>
      <c r="X11" s="229"/>
      <c r="Y11" s="229"/>
      <c r="Z11" s="99"/>
    </row>
    <row r="12" spans="1:26" x14ac:dyDescent="0.25">
      <c r="A12" s="208">
        <f>Données!A12</f>
        <v>5405</v>
      </c>
      <c r="B12" s="209" t="str">
        <f>Données!B12</f>
        <v>Gryon</v>
      </c>
      <c r="C12" s="387">
        <f>Ressources!H12</f>
        <v>312557.45955470135</v>
      </c>
      <c r="D12" s="387">
        <f>Ressources!L12</f>
        <v>0</v>
      </c>
      <c r="E12" s="430">
        <f>Ressources!T12</f>
        <v>219747.28767567384</v>
      </c>
      <c r="F12" s="388">
        <f t="shared" si="0"/>
        <v>532304.74723037519</v>
      </c>
      <c r="G12" s="387">
        <f>'Besoins structurels'!I12</f>
        <v>-22631</v>
      </c>
      <c r="H12" s="387">
        <f>'Besoins structurels'!N12</f>
        <v>-544918</v>
      </c>
      <c r="I12" s="387">
        <f>'Besoins structurels'!V12</f>
        <v>0</v>
      </c>
      <c r="J12" s="389">
        <f t="shared" si="1"/>
        <v>-567549</v>
      </c>
      <c r="K12" s="387">
        <f>'Charges des villes'!N12</f>
        <v>577379.41173525446</v>
      </c>
      <c r="L12" s="387">
        <f>'Charges des villes'!U12</f>
        <v>154243.11120503885</v>
      </c>
      <c r="M12" s="378">
        <f t="shared" si="2"/>
        <v>731622.5229402933</v>
      </c>
      <c r="N12" s="388">
        <f>-VLOOKUP(A12,Paramètres!$B$23:$C$322,2,FALSE)*$N$5</f>
        <v>-128800</v>
      </c>
      <c r="O12" s="408"/>
      <c r="P12" s="639">
        <f t="shared" si="3"/>
        <v>567578.27017066849</v>
      </c>
      <c r="Q12" s="640"/>
      <c r="R12" s="640"/>
      <c r="S12" s="641"/>
      <c r="T12" s="388">
        <f>PCS!D12</f>
        <v>1500530.1341573289</v>
      </c>
      <c r="U12" s="379">
        <f>Police!U12</f>
        <v>239514.17788639013</v>
      </c>
      <c r="V12" s="431">
        <f t="shared" si="4"/>
        <v>2307622.5822143876</v>
      </c>
      <c r="W12" s="229"/>
      <c r="X12" s="229"/>
      <c r="Y12" s="229"/>
      <c r="Z12" s="99"/>
    </row>
    <row r="13" spans="1:26" x14ac:dyDescent="0.25">
      <c r="A13" s="208">
        <f>Données!A13</f>
        <v>5406</v>
      </c>
      <c r="B13" s="209" t="str">
        <f>Données!B13</f>
        <v>Lavey-Morcles</v>
      </c>
      <c r="C13" s="387">
        <f>Ressources!H13</f>
        <v>-1418008.8546762262</v>
      </c>
      <c r="D13" s="387">
        <f>Ressources!L13</f>
        <v>-15784</v>
      </c>
      <c r="E13" s="430">
        <f>Ressources!T13</f>
        <v>-109614.98945368316</v>
      </c>
      <c r="F13" s="388">
        <f t="shared" si="0"/>
        <v>-1543407.8441299093</v>
      </c>
      <c r="G13" s="387">
        <f>'Besoins structurels'!I13</f>
        <v>-48378</v>
      </c>
      <c r="H13" s="387">
        <f>'Besoins structurels'!N13</f>
        <v>-9189</v>
      </c>
      <c r="I13" s="387">
        <f>'Besoins structurels'!V13</f>
        <v>0</v>
      </c>
      <c r="J13" s="389">
        <f t="shared" si="1"/>
        <v>-57567</v>
      </c>
      <c r="K13" s="387">
        <f>'Charges des villes'!N13</f>
        <v>464076.10608424904</v>
      </c>
      <c r="L13" s="387">
        <f>'Charges des villes'!U13</f>
        <v>102559.02607338321</v>
      </c>
      <c r="M13" s="378">
        <f t="shared" si="2"/>
        <v>566635.13215763227</v>
      </c>
      <c r="N13" s="388">
        <f>-VLOOKUP(A13,Paramètres!$B$23:$C$322,2,FALSE)*$N$5</f>
        <v>0</v>
      </c>
      <c r="O13" s="408"/>
      <c r="P13" s="639">
        <f t="shared" si="3"/>
        <v>-1034339.711972277</v>
      </c>
      <c r="Q13" s="640"/>
      <c r="R13" s="640"/>
      <c r="S13" s="641"/>
      <c r="T13" s="388">
        <f>PCS!D13</f>
        <v>997729.54494133207</v>
      </c>
      <c r="U13" s="379">
        <f>Police!U13</f>
        <v>150845.78848354466</v>
      </c>
      <c r="V13" s="431">
        <f t="shared" si="4"/>
        <v>114235.62145259971</v>
      </c>
      <c r="W13" s="229"/>
      <c r="X13" s="229"/>
      <c r="Y13" s="229"/>
      <c r="Z13" s="99"/>
    </row>
    <row r="14" spans="1:26" ht="15" customHeight="1" x14ac:dyDescent="0.25">
      <c r="A14" s="208">
        <f>Données!A14</f>
        <v>5407</v>
      </c>
      <c r="B14" s="209" t="str">
        <f>Données!B14</f>
        <v>Leysin</v>
      </c>
      <c r="C14" s="387">
        <f>Ressources!H14</f>
        <v>-4600106.3473457331</v>
      </c>
      <c r="D14" s="387">
        <f>Ressources!L14</f>
        <v>0</v>
      </c>
      <c r="E14" s="430">
        <f>Ressources!T14</f>
        <v>-246578.29997714248</v>
      </c>
      <c r="F14" s="388">
        <f t="shared" si="0"/>
        <v>-4846684.6473228754</v>
      </c>
      <c r="G14" s="387">
        <f>'Besoins structurels'!I14</f>
        <v>0</v>
      </c>
      <c r="H14" s="387">
        <f>'Besoins structurels'!N14</f>
        <v>-1512846</v>
      </c>
      <c r="I14" s="387">
        <f>'Besoins structurels'!V14</f>
        <v>0</v>
      </c>
      <c r="J14" s="389">
        <f t="shared" si="1"/>
        <v>-1512846</v>
      </c>
      <c r="K14" s="387">
        <f>'Charges des villes'!N14</f>
        <v>856013.3230037461</v>
      </c>
      <c r="L14" s="387">
        <f>'Charges des villes'!U14</f>
        <v>372712.0424856185</v>
      </c>
      <c r="M14" s="378">
        <f t="shared" si="2"/>
        <v>1228725.3654893646</v>
      </c>
      <c r="N14" s="388">
        <f>-VLOOKUP(A14,Paramètres!$B$23:$C$322,2,FALSE)*$N$5</f>
        <v>-408800</v>
      </c>
      <c r="O14" s="408"/>
      <c r="P14" s="639">
        <f t="shared" si="3"/>
        <v>-5539605.2818335108</v>
      </c>
      <c r="Q14" s="640"/>
      <c r="R14" s="640"/>
      <c r="S14" s="641"/>
      <c r="T14" s="388">
        <f>PCS!D14</f>
        <v>3625871.1766359061</v>
      </c>
      <c r="U14" s="379">
        <f>Police!U14</f>
        <v>622913.70160828554</v>
      </c>
      <c r="V14" s="431">
        <f t="shared" si="4"/>
        <v>-1290820.4035893192</v>
      </c>
      <c r="W14" s="229"/>
      <c r="X14" s="229"/>
      <c r="Y14" s="229"/>
      <c r="Z14" s="99"/>
    </row>
    <row r="15" spans="1:26" ht="15" customHeight="1" x14ac:dyDescent="0.25">
      <c r="A15" s="208">
        <f>Données!A15</f>
        <v>5408</v>
      </c>
      <c r="B15" s="209" t="str">
        <f>Données!B15</f>
        <v>Noville</v>
      </c>
      <c r="C15" s="387">
        <f>Ressources!H15</f>
        <v>-938194.89097615879</v>
      </c>
      <c r="D15" s="387">
        <f>Ressources!L15</f>
        <v>0</v>
      </c>
      <c r="E15" s="430">
        <f>Ressources!T15</f>
        <v>-79507.859428056428</v>
      </c>
      <c r="F15" s="388">
        <f t="shared" si="0"/>
        <v>-1017702.7504042152</v>
      </c>
      <c r="G15" s="387">
        <f>'Besoins structurels'!I15</f>
        <v>0</v>
      </c>
      <c r="H15" s="387">
        <f>'Besoins structurels'!N15</f>
        <v>0</v>
      </c>
      <c r="I15" s="387">
        <f>'Besoins structurels'!V15</f>
        <v>-32541</v>
      </c>
      <c r="J15" s="389">
        <f t="shared" si="1"/>
        <v>-32541</v>
      </c>
      <c r="K15" s="387">
        <f>'Charges des villes'!N15</f>
        <v>507091.45108678337</v>
      </c>
      <c r="L15" s="387">
        <f>'Charges des villes'!U15</f>
        <v>122180.77267913897</v>
      </c>
      <c r="M15" s="378">
        <f t="shared" si="2"/>
        <v>629272.22376592236</v>
      </c>
      <c r="N15" s="388">
        <f>-VLOOKUP(A15,Paramètres!$B$23:$C$322,2,FALSE)*$N$5</f>
        <v>-24900</v>
      </c>
      <c r="O15" s="408"/>
      <c r="P15" s="639">
        <f t="shared" si="3"/>
        <v>-445871.52663829282</v>
      </c>
      <c r="Q15" s="640"/>
      <c r="R15" s="640"/>
      <c r="S15" s="641"/>
      <c r="T15" s="388">
        <f>PCS!D15</f>
        <v>1188616.6570898711</v>
      </c>
      <c r="U15" s="379">
        <f>Police!U15</f>
        <v>184508.54297307896</v>
      </c>
      <c r="V15" s="431">
        <f t="shared" si="4"/>
        <v>927253.6734246572</v>
      </c>
      <c r="W15" s="229"/>
      <c r="X15" s="229"/>
      <c r="Y15" s="229"/>
      <c r="Z15" s="99"/>
    </row>
    <row r="16" spans="1:26" x14ac:dyDescent="0.25">
      <c r="A16" s="208">
        <f>Données!A16</f>
        <v>5409</v>
      </c>
      <c r="B16" s="209" t="str">
        <f>Données!B16</f>
        <v>Ollon</v>
      </c>
      <c r="C16" s="387">
        <f>Ressources!H16</f>
        <v>1211599.2486266347</v>
      </c>
      <c r="D16" s="387">
        <f>Ressources!L16</f>
        <v>0</v>
      </c>
      <c r="E16" s="430">
        <f>Ressources!T16</f>
        <v>810454.04541599308</v>
      </c>
      <c r="F16" s="388">
        <f t="shared" si="0"/>
        <v>2022053.2940426278</v>
      </c>
      <c r="G16" s="387">
        <f>'Besoins structurels'!I16</f>
        <v>0</v>
      </c>
      <c r="H16" s="387">
        <f>'Besoins structurels'!N16</f>
        <v>-1268791</v>
      </c>
      <c r="I16" s="387">
        <f>'Besoins structurels'!V16</f>
        <v>0</v>
      </c>
      <c r="J16" s="389">
        <f t="shared" si="1"/>
        <v>-1268791</v>
      </c>
      <c r="K16" s="387">
        <f>'Charges des villes'!N16</f>
        <v>535338.50807894953</v>
      </c>
      <c r="L16" s="387">
        <f>'Charges des villes'!U16</f>
        <v>318711.94119857671</v>
      </c>
      <c r="M16" s="378">
        <f t="shared" si="2"/>
        <v>854050.44927752623</v>
      </c>
      <c r="N16" s="388">
        <f>-VLOOKUP(A16,Paramètres!$B$23:$C$322,2,FALSE)*$N$5</f>
        <v>0</v>
      </c>
      <c r="O16" s="408"/>
      <c r="P16" s="639">
        <f t="shared" si="3"/>
        <v>1607312.743320154</v>
      </c>
      <c r="Q16" s="640"/>
      <c r="R16" s="640"/>
      <c r="S16" s="641"/>
      <c r="T16" s="388">
        <f>PCS!D16</f>
        <v>8090071.3200272508</v>
      </c>
      <c r="U16" s="379">
        <f>Police!U16</f>
        <v>253499.57104887065</v>
      </c>
      <c r="V16" s="431">
        <f t="shared" si="4"/>
        <v>9950883.6343962755</v>
      </c>
      <c r="W16" s="229"/>
      <c r="X16" s="229"/>
      <c r="Y16" s="229"/>
      <c r="Z16" s="99"/>
    </row>
    <row r="17" spans="1:26" x14ac:dyDescent="0.25">
      <c r="A17" s="208">
        <f>Données!A17</f>
        <v>5410</v>
      </c>
      <c r="B17" s="209" t="str">
        <f>Données!B17</f>
        <v>Ormont-Dessous</v>
      </c>
      <c r="C17" s="387">
        <f>Ressources!H17</f>
        <v>-1144455.6051433089</v>
      </c>
      <c r="D17" s="387">
        <f>Ressources!L17</f>
        <v>0</v>
      </c>
      <c r="E17" s="430">
        <f>Ressources!T17</f>
        <v>-11719.947722270095</v>
      </c>
      <c r="F17" s="388">
        <f t="shared" si="0"/>
        <v>-1156175.552865579</v>
      </c>
      <c r="G17" s="387">
        <f>'Besoins structurels'!I17</f>
        <v>-500532</v>
      </c>
      <c r="H17" s="387">
        <f>'Besoins structurels'!N17</f>
        <v>-453240</v>
      </c>
      <c r="I17" s="387">
        <f>'Besoins structurels'!V17</f>
        <v>0</v>
      </c>
      <c r="J17" s="389">
        <f t="shared" si="1"/>
        <v>-953772</v>
      </c>
      <c r="K17" s="387">
        <f>'Charges des villes'!N17</f>
        <v>515073.68005632586</v>
      </c>
      <c r="L17" s="387">
        <f>'Charges des villes'!U17</f>
        <v>125821.9215338153</v>
      </c>
      <c r="M17" s="378">
        <f t="shared" si="2"/>
        <v>640895.60159014119</v>
      </c>
      <c r="N17" s="388">
        <f>-VLOOKUP(A17,Paramètres!$B$23:$C$322,2,FALSE)*$N$5</f>
        <v>0</v>
      </c>
      <c r="O17" s="408"/>
      <c r="P17" s="639">
        <f t="shared" si="3"/>
        <v>-1469051.9512754376</v>
      </c>
      <c r="Q17" s="640"/>
      <c r="R17" s="640"/>
      <c r="S17" s="641"/>
      <c r="T17" s="388">
        <f>PCS!D17</f>
        <v>1224039.0077978473</v>
      </c>
      <c r="U17" s="379">
        <f>Police!U17</f>
        <v>190755.23968247708</v>
      </c>
      <c r="V17" s="431">
        <f t="shared" si="4"/>
        <v>-54257.703795113252</v>
      </c>
      <c r="W17" s="229"/>
      <c r="X17" s="229"/>
      <c r="Y17" s="229"/>
      <c r="Z17" s="99"/>
    </row>
    <row r="18" spans="1:26" x14ac:dyDescent="0.25">
      <c r="A18" s="208">
        <f>Données!A18</f>
        <v>5411</v>
      </c>
      <c r="B18" s="209" t="str">
        <f>Données!B18</f>
        <v>Ormont-Dessus</v>
      </c>
      <c r="C18" s="387">
        <f>Ressources!H18</f>
        <v>731239.66901766753</v>
      </c>
      <c r="D18" s="387">
        <f>Ressources!L18</f>
        <v>0</v>
      </c>
      <c r="E18" s="430">
        <f>Ressources!T18</f>
        <v>210451.01091120782</v>
      </c>
      <c r="F18" s="388">
        <f t="shared" si="0"/>
        <v>941690.6799288753</v>
      </c>
      <c r="G18" s="387">
        <f>'Besoins structurels'!I18</f>
        <v>-341016</v>
      </c>
      <c r="H18" s="387">
        <f>'Besoins structurels'!N18</f>
        <v>-610107</v>
      </c>
      <c r="I18" s="387">
        <f>'Besoins structurels'!V18</f>
        <v>0</v>
      </c>
      <c r="J18" s="389">
        <f t="shared" si="1"/>
        <v>-951123</v>
      </c>
      <c r="K18" s="387">
        <f>'Charges des villes'!N18</f>
        <v>557423.83931139822</v>
      </c>
      <c r="L18" s="387">
        <f>'Charges des villes'!U18</f>
        <v>145140.23906834805</v>
      </c>
      <c r="M18" s="378">
        <f t="shared" si="2"/>
        <v>702564.07837974629</v>
      </c>
      <c r="N18" s="388">
        <f>-VLOOKUP(A18,Paramètres!$B$23:$C$322,2,FALSE)*$N$5</f>
        <v>0</v>
      </c>
      <c r="O18" s="408"/>
      <c r="P18" s="639">
        <f t="shared" si="3"/>
        <v>693131.75830862159</v>
      </c>
      <c r="Q18" s="640"/>
      <c r="R18" s="640"/>
      <c r="S18" s="641"/>
      <c r="T18" s="388">
        <f>PCS!D18</f>
        <v>1411974.2573873883</v>
      </c>
      <c r="U18" s="379">
        <f>Police!U18</f>
        <v>223897.43611289485</v>
      </c>
      <c r="V18" s="431">
        <f t="shared" si="4"/>
        <v>2329003.4518089043</v>
      </c>
      <c r="W18" s="229"/>
      <c r="X18" s="229"/>
      <c r="Y18" s="229"/>
      <c r="Z18" s="99"/>
    </row>
    <row r="19" spans="1:26" x14ac:dyDescent="0.25">
      <c r="A19" s="208">
        <f>Données!A19</f>
        <v>5412</v>
      </c>
      <c r="B19" s="209" t="str">
        <f>Données!B19</f>
        <v>Rennaz</v>
      </c>
      <c r="C19" s="387">
        <f>Ressources!H19</f>
        <v>-855977.83384838002</v>
      </c>
      <c r="D19" s="387">
        <f>Ressources!L19</f>
        <v>0</v>
      </c>
      <c r="E19" s="430">
        <f>Ressources!T19</f>
        <v>387218.00038309133</v>
      </c>
      <c r="F19" s="388">
        <f t="shared" si="0"/>
        <v>-468759.83346528868</v>
      </c>
      <c r="G19" s="387">
        <f>'Besoins structurels'!I19</f>
        <v>0</v>
      </c>
      <c r="H19" s="387">
        <f>'Besoins structurels'!N19</f>
        <v>0</v>
      </c>
      <c r="I19" s="387">
        <f>'Besoins structurels'!V19</f>
        <v>-62456</v>
      </c>
      <c r="J19" s="389">
        <f t="shared" si="1"/>
        <v>-62456</v>
      </c>
      <c r="K19" s="387">
        <f>'Charges des villes'!N19</f>
        <v>437462.33872702625</v>
      </c>
      <c r="L19" s="387">
        <f>'Charges des villes'!U19</f>
        <v>95984.729530217621</v>
      </c>
      <c r="M19" s="378">
        <f t="shared" si="2"/>
        <v>533447.06825724384</v>
      </c>
      <c r="N19" s="388">
        <f>-VLOOKUP(A19,Paramètres!$B$23:$C$322,2,FALSE)*$N$5</f>
        <v>0</v>
      </c>
      <c r="O19" s="408"/>
      <c r="P19" s="639">
        <f t="shared" si="3"/>
        <v>2231.2347919552121</v>
      </c>
      <c r="Q19" s="640"/>
      <c r="R19" s="640"/>
      <c r="S19" s="641"/>
      <c r="T19" s="388">
        <f>PCS!D19</f>
        <v>933772.52282970829</v>
      </c>
      <c r="U19" s="379">
        <f>Police!U19</f>
        <v>140847.27514640993</v>
      </c>
      <c r="V19" s="431">
        <f t="shared" si="4"/>
        <v>1076851.0327680735</v>
      </c>
      <c r="W19" s="229"/>
      <c r="X19" s="229"/>
      <c r="Y19" s="229"/>
      <c r="Z19" s="99"/>
    </row>
    <row r="20" spans="1:26" ht="15" customHeight="1" x14ac:dyDescent="0.25">
      <c r="A20" s="208">
        <f>Données!A20</f>
        <v>5413</v>
      </c>
      <c r="B20" s="209" t="str">
        <f>Données!B20</f>
        <v>Roche</v>
      </c>
      <c r="C20" s="387">
        <f>Ressources!H20</f>
        <v>-3088861.481808627</v>
      </c>
      <c r="D20" s="387">
        <f>Ressources!L20</f>
        <v>-105469</v>
      </c>
      <c r="E20" s="430">
        <f>Ressources!T20</f>
        <v>58251.801243045775</v>
      </c>
      <c r="F20" s="388">
        <f t="shared" si="0"/>
        <v>-3136078.6805655812</v>
      </c>
      <c r="G20" s="387">
        <f>'Besoins structurels'!I20</f>
        <v>0</v>
      </c>
      <c r="H20" s="387">
        <f>'Besoins structurels'!N20</f>
        <v>0</v>
      </c>
      <c r="I20" s="387">
        <f>'Besoins structurels'!V20</f>
        <v>-155453</v>
      </c>
      <c r="J20" s="389">
        <f t="shared" si="1"/>
        <v>-155453</v>
      </c>
      <c r="K20" s="387">
        <f>'Charges des villes'!N20</f>
        <v>681813.5740867682</v>
      </c>
      <c r="L20" s="387">
        <f>'Charges des villes'!U20</f>
        <v>201881.47538705415</v>
      </c>
      <c r="M20" s="378">
        <f t="shared" si="2"/>
        <v>883695.04947382235</v>
      </c>
      <c r="N20" s="388">
        <f>-VLOOKUP(A20,Paramètres!$B$23:$C$322,2,FALSE)*$N$5</f>
        <v>0</v>
      </c>
      <c r="O20" s="408"/>
      <c r="P20" s="639">
        <f t="shared" si="3"/>
        <v>-2407836.6310917586</v>
      </c>
      <c r="Q20" s="640"/>
      <c r="R20" s="640"/>
      <c r="S20" s="641"/>
      <c r="T20" s="388">
        <f>PCS!D20</f>
        <v>1963972.5559200186</v>
      </c>
      <c r="U20" s="379">
        <f>Police!U20</f>
        <v>321241.79316768207</v>
      </c>
      <c r="V20" s="431">
        <f t="shared" si="4"/>
        <v>-122622.28200405795</v>
      </c>
      <c r="W20" s="229"/>
      <c r="X20" s="229"/>
      <c r="Y20" s="229"/>
      <c r="Z20" s="99"/>
    </row>
    <row r="21" spans="1:26" ht="15" customHeight="1" x14ac:dyDescent="0.25">
      <c r="A21" s="208">
        <f>Données!A21</f>
        <v>5414</v>
      </c>
      <c r="B21" s="209" t="str">
        <f>Données!B21</f>
        <v>Villeneuve</v>
      </c>
      <c r="C21" s="387">
        <f>Ressources!H21</f>
        <v>-6671645.7376512261</v>
      </c>
      <c r="D21" s="387">
        <f>Ressources!L21</f>
        <v>0</v>
      </c>
      <c r="E21" s="430">
        <f>Ressources!T21</f>
        <v>-177762.33760433202</v>
      </c>
      <c r="F21" s="388">
        <f t="shared" si="0"/>
        <v>-6849408.0752555579</v>
      </c>
      <c r="G21" s="387">
        <f>'Besoins structurels'!I21</f>
        <v>0</v>
      </c>
      <c r="H21" s="387">
        <f>'Besoins structurels'!N21</f>
        <v>0</v>
      </c>
      <c r="I21" s="387">
        <f>'Besoins structurels'!V21</f>
        <v>0</v>
      </c>
      <c r="J21" s="389">
        <f t="shared" si="1"/>
        <v>0</v>
      </c>
      <c r="K21" s="387">
        <f>'Charges des villes'!N21</f>
        <v>689632.78204430779</v>
      </c>
      <c r="L21" s="387">
        <f>'Charges des villes'!U21</f>
        <v>192639.92037195392</v>
      </c>
      <c r="M21" s="378">
        <f t="shared" si="2"/>
        <v>882272.70241626166</v>
      </c>
      <c r="N21" s="388">
        <f>-VLOOKUP(A21,Paramètres!$B$23:$C$322,2,FALSE)*$N$5</f>
        <v>-465800</v>
      </c>
      <c r="O21" s="408"/>
      <c r="P21" s="639">
        <f t="shared" si="3"/>
        <v>-6432935.3728392962</v>
      </c>
      <c r="Q21" s="640"/>
      <c r="R21" s="640"/>
      <c r="S21" s="641"/>
      <c r="T21" s="388">
        <f>PCS!D21</f>
        <v>5942099.3312630225</v>
      </c>
      <c r="U21" s="379">
        <f>Police!U21</f>
        <v>1073965.2190837846</v>
      </c>
      <c r="V21" s="431">
        <f t="shared" si="4"/>
        <v>583129.17750751087</v>
      </c>
      <c r="W21" s="229"/>
      <c r="X21" s="229"/>
      <c r="Y21" s="229"/>
      <c r="Z21" s="99"/>
    </row>
    <row r="22" spans="1:26" x14ac:dyDescent="0.25">
      <c r="A22" s="208">
        <f>Données!A22</f>
        <v>5415</v>
      </c>
      <c r="B22" s="209" t="str">
        <f>Données!B22</f>
        <v>Yvorne</v>
      </c>
      <c r="C22" s="387">
        <f>Ressources!H22</f>
        <v>-960796.75977838377</v>
      </c>
      <c r="D22" s="387">
        <f>Ressources!L22</f>
        <v>0</v>
      </c>
      <c r="E22" s="430">
        <f>Ressources!T22</f>
        <v>-143731.31490491942</v>
      </c>
      <c r="F22" s="388">
        <f t="shared" si="0"/>
        <v>-1104528.0746833032</v>
      </c>
      <c r="G22" s="387">
        <f>'Besoins structurels'!I22</f>
        <v>-33068</v>
      </c>
      <c r="H22" s="387">
        <f>'Besoins structurels'!N22</f>
        <v>0</v>
      </c>
      <c r="I22" s="387">
        <f>'Besoins structurels'!V22</f>
        <v>0</v>
      </c>
      <c r="J22" s="389">
        <f t="shared" si="1"/>
        <v>-33068</v>
      </c>
      <c r="K22" s="387">
        <f>'Charges des villes'!N22</f>
        <v>485362.05000302894</v>
      </c>
      <c r="L22" s="387">
        <f>'Charges des villes'!U22</f>
        <v>-39503.643647479912</v>
      </c>
      <c r="M22" s="378">
        <f t="shared" si="2"/>
        <v>445858.406355549</v>
      </c>
      <c r="N22" s="388">
        <f>-VLOOKUP(A22,Paramètres!$B$23:$C$322,2,FALSE)*$N$5</f>
        <v>-121100</v>
      </c>
      <c r="O22" s="408"/>
      <c r="P22" s="639">
        <f t="shared" si="3"/>
        <v>-812837.66832775425</v>
      </c>
      <c r="Q22" s="640"/>
      <c r="R22" s="640"/>
      <c r="S22" s="641"/>
      <c r="T22" s="388">
        <f>PCS!D22</f>
        <v>1092189.1468292689</v>
      </c>
      <c r="U22" s="379">
        <f>Police!U22</f>
        <v>167503.64637527298</v>
      </c>
      <c r="V22" s="431">
        <f t="shared" si="4"/>
        <v>446855.12487678765</v>
      </c>
      <c r="W22" s="229"/>
      <c r="X22" s="229"/>
      <c r="Y22" s="229"/>
      <c r="Z22" s="99"/>
    </row>
    <row r="23" spans="1:26" x14ac:dyDescent="0.25">
      <c r="A23" s="208">
        <f>Données!A23</f>
        <v>5422</v>
      </c>
      <c r="B23" s="209" t="str">
        <f>Données!B23</f>
        <v>Aubonne</v>
      </c>
      <c r="C23" s="387">
        <f>Ressources!H23</f>
        <v>5193657.7956921589</v>
      </c>
      <c r="D23" s="387">
        <f>Ressources!L23</f>
        <v>0</v>
      </c>
      <c r="E23" s="430">
        <f>Ressources!T23</f>
        <v>-30257.597840359434</v>
      </c>
      <c r="F23" s="388">
        <f t="shared" si="0"/>
        <v>5163400.1978517994</v>
      </c>
      <c r="G23" s="387">
        <f>'Besoins structurels'!I23</f>
        <v>0</v>
      </c>
      <c r="H23" s="387">
        <f>'Besoins structurels'!N23</f>
        <v>0</v>
      </c>
      <c r="I23" s="387">
        <f>'Besoins structurels'!V23</f>
        <v>0</v>
      </c>
      <c r="J23" s="389">
        <f t="shared" si="1"/>
        <v>0</v>
      </c>
      <c r="K23" s="387">
        <f>'Charges des villes'!N23</f>
        <v>843502.97646601498</v>
      </c>
      <c r="L23" s="387">
        <f>'Charges des villes'!U23</f>
        <v>390614.35768777708</v>
      </c>
      <c r="M23" s="378">
        <f t="shared" si="2"/>
        <v>1234117.3341537921</v>
      </c>
      <c r="N23" s="388">
        <f>-VLOOKUP(A23,Paramètres!$B$23:$C$322,2,FALSE)*$N$5</f>
        <v>0</v>
      </c>
      <c r="O23" s="408"/>
      <c r="P23" s="639">
        <f t="shared" si="3"/>
        <v>6397517.5320055913</v>
      </c>
      <c r="Q23" s="640"/>
      <c r="R23" s="640"/>
      <c r="S23" s="641"/>
      <c r="T23" s="388">
        <f>PCS!D23</f>
        <v>3800031.0676167896</v>
      </c>
      <c r="U23" s="379">
        <f>Police!U23</f>
        <v>655848.2280377181</v>
      </c>
      <c r="V23" s="431">
        <f t="shared" si="4"/>
        <v>10853396.827660099</v>
      </c>
      <c r="W23" s="229"/>
      <c r="X23" s="229"/>
      <c r="Y23" s="229"/>
      <c r="Z23" s="99"/>
    </row>
    <row r="24" spans="1:26" ht="15" customHeight="1" x14ac:dyDescent="0.25">
      <c r="A24" s="208">
        <f>Données!A24</f>
        <v>5423</v>
      </c>
      <c r="B24" s="209" t="str">
        <f>Données!B24</f>
        <v>Ballens</v>
      </c>
      <c r="C24" s="387">
        <f>Ressources!H24</f>
        <v>-646860.07841034653</v>
      </c>
      <c r="D24" s="387">
        <f>Ressources!L24</f>
        <v>0</v>
      </c>
      <c r="E24" s="430">
        <f>Ressources!T24</f>
        <v>-82535.061315268787</v>
      </c>
      <c r="F24" s="388">
        <f t="shared" si="0"/>
        <v>-729395.13972561527</v>
      </c>
      <c r="G24" s="387">
        <f>'Besoins structurels'!I24</f>
        <v>-40379</v>
      </c>
      <c r="H24" s="387">
        <f>'Besoins structurels'!N24</f>
        <v>0</v>
      </c>
      <c r="I24" s="387">
        <f>'Besoins structurels'!V24</f>
        <v>0</v>
      </c>
      <c r="J24" s="389">
        <f t="shared" si="1"/>
        <v>-40379</v>
      </c>
      <c r="K24" s="387">
        <f>'Charges des villes'!N24</f>
        <v>266902.73353313818</v>
      </c>
      <c r="L24" s="387">
        <f>'Charges des villes'!U24</f>
        <v>58561.810746044262</v>
      </c>
      <c r="M24" s="378">
        <f t="shared" si="2"/>
        <v>325464.54427918245</v>
      </c>
      <c r="N24" s="388">
        <f>-VLOOKUP(A24,Paramètres!$B$23:$C$322,2,FALSE)*$N$5</f>
        <v>0</v>
      </c>
      <c r="O24" s="408"/>
      <c r="P24" s="639">
        <f t="shared" si="3"/>
        <v>-444309.59544643282</v>
      </c>
      <c r="Q24" s="640"/>
      <c r="R24" s="640"/>
      <c r="S24" s="641"/>
      <c r="T24" s="388">
        <f>PCS!D24</f>
        <v>569709.47388661862</v>
      </c>
      <c r="U24" s="379">
        <f>Police!U24</f>
        <v>85933.163656239558</v>
      </c>
      <c r="V24" s="431">
        <f t="shared" si="4"/>
        <v>211333.04209642537</v>
      </c>
      <c r="W24" s="229"/>
      <c r="X24" s="229"/>
      <c r="Y24" s="229"/>
      <c r="Z24" s="99"/>
    </row>
    <row r="25" spans="1:26" x14ac:dyDescent="0.25">
      <c r="A25" s="208">
        <f>Données!A25</f>
        <v>5424</v>
      </c>
      <c r="B25" s="209" t="str">
        <f>Données!B25</f>
        <v>Berolle</v>
      </c>
      <c r="C25" s="387">
        <f>Ressources!H25</f>
        <v>-279058.59623593662</v>
      </c>
      <c r="D25" s="387">
        <f>Ressources!L25</f>
        <v>0</v>
      </c>
      <c r="E25" s="430">
        <f>Ressources!T25</f>
        <v>-29571.559392964497</v>
      </c>
      <c r="F25" s="388">
        <f t="shared" si="0"/>
        <v>-308630.15562890109</v>
      </c>
      <c r="G25" s="387">
        <f>'Besoins structurels'!I25</f>
        <v>-77231</v>
      </c>
      <c r="H25" s="387">
        <f>'Besoins structurels'!N25</f>
        <v>-45639</v>
      </c>
      <c r="I25" s="387">
        <f>'Besoins structurels'!V25</f>
        <v>-19836</v>
      </c>
      <c r="J25" s="389">
        <f t="shared" si="1"/>
        <v>-142706</v>
      </c>
      <c r="K25" s="387">
        <f>'Charges des villes'!N25</f>
        <v>139674.48749661638</v>
      </c>
      <c r="L25" s="387">
        <f>'Charges des villes'!U25</f>
        <v>30646.336193525753</v>
      </c>
      <c r="M25" s="378">
        <f t="shared" si="2"/>
        <v>170320.82369014213</v>
      </c>
      <c r="N25" s="388">
        <f>-VLOOKUP(A25,Paramètres!$B$23:$C$322,2,FALSE)*$N$5</f>
        <v>0</v>
      </c>
      <c r="O25" s="408"/>
      <c r="P25" s="639">
        <f t="shared" si="3"/>
        <v>-281015.33193875896</v>
      </c>
      <c r="Q25" s="640"/>
      <c r="R25" s="640"/>
      <c r="S25" s="641"/>
      <c r="T25" s="388">
        <f>PCS!D25</f>
        <v>298138.11845880043</v>
      </c>
      <c r="U25" s="379">
        <f>Police!U25</f>
        <v>44970.204814923294</v>
      </c>
      <c r="V25" s="431">
        <f t="shared" si="4"/>
        <v>62092.991334964761</v>
      </c>
      <c r="W25" s="229"/>
      <c r="X25" s="229"/>
      <c r="Y25" s="229"/>
      <c r="Z25" s="99"/>
    </row>
    <row r="26" spans="1:26" x14ac:dyDescent="0.25">
      <c r="A26" s="208">
        <f>Données!A26</f>
        <v>5425</v>
      </c>
      <c r="B26" s="209" t="str">
        <f>Données!B26</f>
        <v>Bière</v>
      </c>
      <c r="C26" s="387">
        <f>Ressources!H26</f>
        <v>-2060444.5310046764</v>
      </c>
      <c r="D26" s="387">
        <f>Ressources!L26</f>
        <v>0</v>
      </c>
      <c r="E26" s="430">
        <f>Ressources!T26</f>
        <v>-183594.29539663484</v>
      </c>
      <c r="F26" s="388">
        <f t="shared" si="0"/>
        <v>-2244038.826401311</v>
      </c>
      <c r="G26" s="387">
        <f>'Besoins structurels'!I26</f>
        <v>-119066</v>
      </c>
      <c r="H26" s="387">
        <f>'Besoins structurels'!N26</f>
        <v>-1291</v>
      </c>
      <c r="I26" s="387">
        <f>'Besoins structurels'!V26</f>
        <v>0</v>
      </c>
      <c r="J26" s="389">
        <f t="shared" si="1"/>
        <v>-120357</v>
      </c>
      <c r="K26" s="387">
        <f>'Charges des villes'!N26</f>
        <v>611747.3420207845</v>
      </c>
      <c r="L26" s="387">
        <f>'Charges des villes'!U26</f>
        <v>169920.27988489528</v>
      </c>
      <c r="M26" s="378">
        <f t="shared" si="2"/>
        <v>781667.62190567981</v>
      </c>
      <c r="N26" s="388">
        <f>-VLOOKUP(A26,Paramètres!$B$23:$C$322,2,FALSE)*$N$5</f>
        <v>-189800</v>
      </c>
      <c r="O26" s="408"/>
      <c r="P26" s="639">
        <f t="shared" si="3"/>
        <v>-1772528.2044956312</v>
      </c>
      <c r="Q26" s="640"/>
      <c r="R26" s="640"/>
      <c r="S26" s="641"/>
      <c r="T26" s="388">
        <f>PCS!D26</f>
        <v>1653043.0330388935</v>
      </c>
      <c r="U26" s="379">
        <f>Police!U26</f>
        <v>266409.67760740977</v>
      </c>
      <c r="V26" s="431">
        <f t="shared" si="4"/>
        <v>146924.5061506721</v>
      </c>
      <c r="W26" s="229"/>
      <c r="X26" s="229"/>
      <c r="Y26" s="229"/>
      <c r="Z26" s="99"/>
    </row>
    <row r="27" spans="1:26" x14ac:dyDescent="0.25">
      <c r="A27" s="208">
        <f>Données!A27</f>
        <v>5426</v>
      </c>
      <c r="B27" s="209" t="str">
        <f>Données!B27</f>
        <v>Bougy-Villars</v>
      </c>
      <c r="C27" s="387">
        <f>Ressources!H27</f>
        <v>2332044.829107258</v>
      </c>
      <c r="D27" s="387">
        <f>Ressources!L27</f>
        <v>0</v>
      </c>
      <c r="E27" s="430">
        <f>Ressources!T27</f>
        <v>461912.18712935701</v>
      </c>
      <c r="F27" s="388">
        <f t="shared" si="0"/>
        <v>2793957.0162366149</v>
      </c>
      <c r="G27" s="387">
        <f>'Besoins structurels'!I27</f>
        <v>0</v>
      </c>
      <c r="H27" s="387">
        <f>'Besoins structurels'!N27</f>
        <v>0</v>
      </c>
      <c r="I27" s="387">
        <f>'Besoins structurels'!V27</f>
        <v>0</v>
      </c>
      <c r="J27" s="389">
        <f t="shared" si="1"/>
        <v>0</v>
      </c>
      <c r="K27" s="387">
        <f>'Charges des villes'!N27</f>
        <v>235556.64392993719</v>
      </c>
      <c r="L27" s="387">
        <f>'Charges des villes'!U27</f>
        <v>51684.085131655644</v>
      </c>
      <c r="M27" s="378">
        <f t="shared" si="2"/>
        <v>287240.72906159284</v>
      </c>
      <c r="N27" s="388">
        <f>-VLOOKUP(A27,Paramètres!$B$23:$C$322,2,FALSE)*$N$5</f>
        <v>0</v>
      </c>
      <c r="O27" s="408"/>
      <c r="P27" s="639">
        <f t="shared" si="3"/>
        <v>3081197.7452982077</v>
      </c>
      <c r="Q27" s="640"/>
      <c r="R27" s="640"/>
      <c r="S27" s="641"/>
      <c r="T27" s="388">
        <f>PCS!D27</f>
        <v>502800.58921599673</v>
      </c>
      <c r="U27" s="379">
        <f>Police!U27</f>
        <v>75840.840463451488</v>
      </c>
      <c r="V27" s="431">
        <f t="shared" si="4"/>
        <v>3659839.174977656</v>
      </c>
      <c r="W27" s="229"/>
      <c r="X27" s="229"/>
      <c r="Y27" s="229"/>
      <c r="Z27" s="99"/>
    </row>
    <row r="28" spans="1:26" ht="15" customHeight="1" x14ac:dyDescent="0.25">
      <c r="A28" s="208">
        <f>Données!A28</f>
        <v>5427</v>
      </c>
      <c r="B28" s="209" t="str">
        <f>Données!B28</f>
        <v>Féchy</v>
      </c>
      <c r="C28" s="387">
        <f>Ressources!H28</f>
        <v>2531711.3996087415</v>
      </c>
      <c r="D28" s="387">
        <f>Ressources!L28</f>
        <v>0</v>
      </c>
      <c r="E28" s="430">
        <f>Ressources!T28</f>
        <v>140796.10646160276</v>
      </c>
      <c r="F28" s="388">
        <f t="shared" si="0"/>
        <v>2672507.5060703442</v>
      </c>
      <c r="G28" s="387">
        <f>'Besoins structurels'!I28</f>
        <v>0</v>
      </c>
      <c r="H28" s="387">
        <f>'Besoins structurels'!N28</f>
        <v>0</v>
      </c>
      <c r="I28" s="387">
        <f>'Besoins structurels'!V28</f>
        <v>0</v>
      </c>
      <c r="J28" s="389">
        <f t="shared" si="1"/>
        <v>0</v>
      </c>
      <c r="K28" s="387">
        <f>'Charges des villes'!N28</f>
        <v>423633.1815491434</v>
      </c>
      <c r="L28" s="387">
        <f>'Charges des villes'!U28</f>
        <v>92950.438817987349</v>
      </c>
      <c r="M28" s="378">
        <f t="shared" si="2"/>
        <v>516583.62036713073</v>
      </c>
      <c r="N28" s="388">
        <f>-VLOOKUP(A28,Paramètres!$B$23:$C$322,2,FALSE)*$N$5</f>
        <v>0</v>
      </c>
      <c r="O28" s="408"/>
      <c r="P28" s="639">
        <f t="shared" si="3"/>
        <v>3189091.126437475</v>
      </c>
      <c r="Q28" s="640"/>
      <c r="R28" s="640"/>
      <c r="S28" s="641"/>
      <c r="T28" s="388">
        <f>PCS!D28</f>
        <v>904253.89723972802</v>
      </c>
      <c r="U28" s="379">
        <f>Police!U28</f>
        <v>136394.77962017991</v>
      </c>
      <c r="V28" s="431">
        <f t="shared" si="4"/>
        <v>4229739.8032973828</v>
      </c>
      <c r="W28" s="229"/>
      <c r="X28" s="229"/>
      <c r="Y28" s="229"/>
      <c r="Z28" s="99"/>
    </row>
    <row r="29" spans="1:26" x14ac:dyDescent="0.25">
      <c r="A29" s="208">
        <f>Données!A29</f>
        <v>5428</v>
      </c>
      <c r="B29" s="209" t="str">
        <f>Données!B29</f>
        <v>Gimel</v>
      </c>
      <c r="C29" s="387">
        <f>Ressources!H29</f>
        <v>-2473062.0730106537</v>
      </c>
      <c r="D29" s="387">
        <f>Ressources!L29</f>
        <v>0</v>
      </c>
      <c r="E29" s="430">
        <f>Ressources!T29</f>
        <v>-255726.8543660288</v>
      </c>
      <c r="F29" s="388">
        <f t="shared" si="0"/>
        <v>-2728788.9273766824</v>
      </c>
      <c r="G29" s="387">
        <f>'Besoins structurels'!I29</f>
        <v>0</v>
      </c>
      <c r="H29" s="387">
        <f>'Besoins structurels'!N29</f>
        <v>-65832</v>
      </c>
      <c r="I29" s="387">
        <f>'Besoins structurels'!V29</f>
        <v>-99619</v>
      </c>
      <c r="J29" s="389">
        <f t="shared" si="1"/>
        <v>-165451</v>
      </c>
      <c r="K29" s="387">
        <f>'Charges des villes'!N29</f>
        <v>784252.17919589626</v>
      </c>
      <c r="L29" s="387">
        <f>'Charges des villes'!U29</f>
        <v>248609.55235540034</v>
      </c>
      <c r="M29" s="378">
        <f t="shared" si="2"/>
        <v>1032861.7315512965</v>
      </c>
      <c r="N29" s="388">
        <f>-VLOOKUP(A29,Paramètres!$B$23:$C$322,2,FALSE)*$N$5</f>
        <v>-82700</v>
      </c>
      <c r="O29" s="408"/>
      <c r="P29" s="639">
        <f t="shared" si="3"/>
        <v>-1944078.1958253859</v>
      </c>
      <c r="Q29" s="640"/>
      <c r="R29" s="640"/>
      <c r="S29" s="641"/>
      <c r="T29" s="388">
        <f>PCS!D29</f>
        <v>2418559.3900057143</v>
      </c>
      <c r="U29" s="379">
        <f>Police!U29</f>
        <v>401407.73427162453</v>
      </c>
      <c r="V29" s="431">
        <f t="shared" si="4"/>
        <v>875888.92845195299</v>
      </c>
      <c r="W29" s="229"/>
      <c r="X29" s="229"/>
      <c r="Y29" s="229"/>
      <c r="Z29" s="99"/>
    </row>
    <row r="30" spans="1:26" x14ac:dyDescent="0.25">
      <c r="A30" s="208">
        <f>Données!A30</f>
        <v>5429</v>
      </c>
      <c r="B30" s="209" t="str">
        <f>Données!B30</f>
        <v>Longirod</v>
      </c>
      <c r="C30" s="387">
        <f>Ressources!H30</f>
        <v>-499965.43732527707</v>
      </c>
      <c r="D30" s="387">
        <f>Ressources!L30</f>
        <v>0</v>
      </c>
      <c r="E30" s="430">
        <f>Ressources!T30</f>
        <v>-78895.307452459718</v>
      </c>
      <c r="F30" s="388">
        <f t="shared" si="0"/>
        <v>-578860.74477773684</v>
      </c>
      <c r="G30" s="387">
        <f>'Besoins structurels'!I30</f>
        <v>-54388</v>
      </c>
      <c r="H30" s="387">
        <f>'Besoins structurels'!N30</f>
        <v>-47388</v>
      </c>
      <c r="I30" s="387">
        <f>'Besoins structurels'!V30</f>
        <v>0</v>
      </c>
      <c r="J30" s="389">
        <f t="shared" si="1"/>
        <v>-101776</v>
      </c>
      <c r="K30" s="387">
        <f>'Charges des villes'!N30</f>
        <v>255839.40779083199</v>
      </c>
      <c r="L30" s="387">
        <f>'Charges des villes'!U30</f>
        <v>56134.378176260041</v>
      </c>
      <c r="M30" s="378">
        <f t="shared" si="2"/>
        <v>311973.78596709203</v>
      </c>
      <c r="N30" s="388">
        <f>-VLOOKUP(A30,Paramètres!$B$23:$C$322,2,FALSE)*$N$5</f>
        <v>0</v>
      </c>
      <c r="O30" s="408"/>
      <c r="P30" s="639">
        <f t="shared" si="3"/>
        <v>-368662.95881064481</v>
      </c>
      <c r="Q30" s="640"/>
      <c r="R30" s="640"/>
      <c r="S30" s="641"/>
      <c r="T30" s="388">
        <f>PCS!D30</f>
        <v>546094.57341463445</v>
      </c>
      <c r="U30" s="379">
        <f>Police!U30</f>
        <v>82371.167235255532</v>
      </c>
      <c r="V30" s="431">
        <f t="shared" si="4"/>
        <v>259802.78183924517</v>
      </c>
      <c r="W30" s="229"/>
      <c r="X30" s="229"/>
      <c r="Y30" s="229"/>
      <c r="Z30" s="99"/>
    </row>
    <row r="31" spans="1:26" x14ac:dyDescent="0.25">
      <c r="A31" s="208">
        <f>Données!A31</f>
        <v>5430</v>
      </c>
      <c r="B31" s="209" t="str">
        <f>Données!B31</f>
        <v>Marchissy</v>
      </c>
      <c r="C31" s="387">
        <f>Ressources!H31</f>
        <v>-475528.78575536201</v>
      </c>
      <c r="D31" s="387">
        <f>Ressources!L31</f>
        <v>0</v>
      </c>
      <c r="E31" s="430">
        <f>Ressources!T31</f>
        <v>-83222.063334692721</v>
      </c>
      <c r="F31" s="388">
        <f t="shared" si="0"/>
        <v>-558750.84909005475</v>
      </c>
      <c r="G31" s="387">
        <f>'Besoins structurels'!I31</f>
        <v>-84495</v>
      </c>
      <c r="H31" s="387">
        <f>'Besoins structurels'!N31</f>
        <v>-46826</v>
      </c>
      <c r="I31" s="387">
        <f>'Besoins structurels'!V31</f>
        <v>0</v>
      </c>
      <c r="J31" s="389">
        <f t="shared" si="1"/>
        <v>-131321</v>
      </c>
      <c r="K31" s="387">
        <f>'Charges des villes'!N31</f>
        <v>235095.67202400777</v>
      </c>
      <c r="L31" s="387">
        <f>'Charges des villes'!U31</f>
        <v>51582.942107914634</v>
      </c>
      <c r="M31" s="378">
        <f t="shared" si="2"/>
        <v>286678.61413192243</v>
      </c>
      <c r="N31" s="388">
        <f>-VLOOKUP(A31,Paramètres!$B$23:$C$322,2,FALSE)*$N$5</f>
        <v>0</v>
      </c>
      <c r="O31" s="408"/>
      <c r="P31" s="639">
        <f t="shared" si="3"/>
        <v>-403393.23495813232</v>
      </c>
      <c r="Q31" s="640"/>
      <c r="R31" s="640"/>
      <c r="S31" s="641"/>
      <c r="T31" s="388">
        <f>PCS!D31</f>
        <v>501816.63502966409</v>
      </c>
      <c r="U31" s="379">
        <f>Police!U31</f>
        <v>75692.423945910501</v>
      </c>
      <c r="V31" s="431">
        <f t="shared" si="4"/>
        <v>174115.82401744227</v>
      </c>
      <c r="W31" s="229"/>
      <c r="X31" s="229"/>
      <c r="Y31" s="229"/>
      <c r="Z31" s="99"/>
    </row>
    <row r="32" spans="1:26" x14ac:dyDescent="0.25">
      <c r="A32" s="208">
        <f>Données!A32</f>
        <v>5431</v>
      </c>
      <c r="B32" s="209" t="str">
        <f>Données!B32</f>
        <v>Mollens</v>
      </c>
      <c r="C32" s="387">
        <f>Ressources!H32</f>
        <v>-283454.82101722865</v>
      </c>
      <c r="D32" s="387">
        <f>Ressources!L32</f>
        <v>0</v>
      </c>
      <c r="E32" s="430">
        <f>Ressources!T32</f>
        <v>-7459.2246479224341</v>
      </c>
      <c r="F32" s="388">
        <f t="shared" si="0"/>
        <v>-290914.04566515109</v>
      </c>
      <c r="G32" s="387">
        <f>'Besoins structurels'!I32</f>
        <v>-89948</v>
      </c>
      <c r="H32" s="387">
        <f>'Besoins structurels'!N32</f>
        <v>-34425</v>
      </c>
      <c r="I32" s="387">
        <f>'Besoins structurels'!V32</f>
        <v>0</v>
      </c>
      <c r="J32" s="389">
        <f t="shared" si="1"/>
        <v>-124373</v>
      </c>
      <c r="K32" s="387">
        <f>'Charges des villes'!N32</f>
        <v>149354.89752113435</v>
      </c>
      <c r="L32" s="387">
        <f>'Charges des villes'!U32</f>
        <v>32770.339692086942</v>
      </c>
      <c r="M32" s="378">
        <f t="shared" si="2"/>
        <v>182125.23721322129</v>
      </c>
      <c r="N32" s="388">
        <f>-VLOOKUP(A32,Paramètres!$B$23:$C$322,2,FALSE)*$N$5</f>
        <v>0</v>
      </c>
      <c r="O32" s="408"/>
      <c r="P32" s="639">
        <f t="shared" si="3"/>
        <v>-233161.8084519298</v>
      </c>
      <c r="Q32" s="640"/>
      <c r="R32" s="640"/>
      <c r="S32" s="641"/>
      <c r="T32" s="388">
        <f>PCS!D32</f>
        <v>318801.15637178661</v>
      </c>
      <c r="U32" s="379">
        <f>Police!U32</f>
        <v>48086.951683284315</v>
      </c>
      <c r="V32" s="431">
        <f t="shared" si="4"/>
        <v>133726.29960314112</v>
      </c>
      <c r="W32" s="229"/>
      <c r="X32" s="229"/>
      <c r="Y32" s="229"/>
      <c r="Z32" s="99"/>
    </row>
    <row r="33" spans="1:26" x14ac:dyDescent="0.25">
      <c r="A33" s="208">
        <f>Données!A33</f>
        <v>5434</v>
      </c>
      <c r="B33" s="209" t="str">
        <f>Données!B33</f>
        <v>Saint-George</v>
      </c>
      <c r="C33" s="387">
        <f>Ressources!H33</f>
        <v>-140272.18956779555</v>
      </c>
      <c r="D33" s="387">
        <f>Ressources!L33</f>
        <v>0</v>
      </c>
      <c r="E33" s="430">
        <f>Ressources!T33</f>
        <v>-139354.24243425921</v>
      </c>
      <c r="F33" s="388">
        <f t="shared" si="0"/>
        <v>-279626.43200205476</v>
      </c>
      <c r="G33" s="387">
        <f>'Besoins structurels'!I33</f>
        <v>-40627</v>
      </c>
      <c r="H33" s="387">
        <f>'Besoins structurels'!N33</f>
        <v>-154539</v>
      </c>
      <c r="I33" s="387">
        <f>'Besoins structurels'!V33</f>
        <v>0</v>
      </c>
      <c r="J33" s="389">
        <f t="shared" si="1"/>
        <v>-195166</v>
      </c>
      <c r="K33" s="387">
        <f>'Charges des villes'!N33</f>
        <v>479375.37827587209</v>
      </c>
      <c r="L33" s="387">
        <f>'Charges des villes'!U33</f>
        <v>109537.89471151284</v>
      </c>
      <c r="M33" s="378">
        <f t="shared" si="2"/>
        <v>588913.27298738493</v>
      </c>
      <c r="N33" s="388">
        <f>-VLOOKUP(A33,Paramètres!$B$23:$C$322,2,FALSE)*$N$5</f>
        <v>0</v>
      </c>
      <c r="O33" s="408"/>
      <c r="P33" s="639">
        <f t="shared" si="3"/>
        <v>114120.84098533017</v>
      </c>
      <c r="Q33" s="640"/>
      <c r="R33" s="640"/>
      <c r="S33" s="641"/>
      <c r="T33" s="388">
        <f>PCS!D33</f>
        <v>1065622.3837982868</v>
      </c>
      <c r="U33" s="379">
        <f>Police!U33</f>
        <v>162818.62384322443</v>
      </c>
      <c r="V33" s="431">
        <f t="shared" si="4"/>
        <v>1342561.8486268416</v>
      </c>
      <c r="W33" s="229"/>
      <c r="X33" s="229"/>
      <c r="Y33" s="229"/>
      <c r="Z33" s="99"/>
    </row>
    <row r="34" spans="1:26" x14ac:dyDescent="0.25">
      <c r="A34" s="208">
        <f>Données!A34</f>
        <v>5435</v>
      </c>
      <c r="B34" s="209" t="str">
        <f>Données!B34</f>
        <v>Saint-Livres</v>
      </c>
      <c r="C34" s="387">
        <f>Ressources!H34</f>
        <v>-449907.9050539438</v>
      </c>
      <c r="D34" s="387">
        <f>Ressources!L34</f>
        <v>0</v>
      </c>
      <c r="E34" s="430">
        <f>Ressources!T34</f>
        <v>-91794.49820452019</v>
      </c>
      <c r="F34" s="388">
        <f t="shared" si="0"/>
        <v>-541702.40325846395</v>
      </c>
      <c r="G34" s="387">
        <f>'Besoins structurels'!I34</f>
        <v>-26213</v>
      </c>
      <c r="H34" s="387">
        <f>'Besoins structurels'!N34</f>
        <v>0</v>
      </c>
      <c r="I34" s="387">
        <f>'Besoins structurels'!V34</f>
        <v>0</v>
      </c>
      <c r="J34" s="389">
        <f t="shared" si="1"/>
        <v>-26213</v>
      </c>
      <c r="K34" s="387">
        <f>'Charges des villes'!N34</f>
        <v>329594.91273954028</v>
      </c>
      <c r="L34" s="387">
        <f>'Charges des villes'!U34</f>
        <v>72317.261974821493</v>
      </c>
      <c r="M34" s="378">
        <f t="shared" si="2"/>
        <v>401912.17471436178</v>
      </c>
      <c r="N34" s="388">
        <f>-VLOOKUP(A34,Paramètres!$B$23:$C$322,2,FALSE)*$N$5</f>
        <v>0</v>
      </c>
      <c r="O34" s="408"/>
      <c r="P34" s="639">
        <f t="shared" si="3"/>
        <v>-166003.22854410217</v>
      </c>
      <c r="Q34" s="640"/>
      <c r="R34" s="640"/>
      <c r="S34" s="641"/>
      <c r="T34" s="388">
        <f>PCS!D34</f>
        <v>703527.2432278624</v>
      </c>
      <c r="U34" s="379">
        <f>Police!U34</f>
        <v>106117.8100418157</v>
      </c>
      <c r="V34" s="431">
        <f t="shared" si="4"/>
        <v>643641.82472557598</v>
      </c>
      <c r="W34" s="229"/>
      <c r="X34" s="229"/>
      <c r="Y34" s="229"/>
      <c r="Z34" s="99"/>
    </row>
    <row r="35" spans="1:26" x14ac:dyDescent="0.25">
      <c r="A35" s="208">
        <f>Données!A35</f>
        <v>5436</v>
      </c>
      <c r="B35" s="209" t="str">
        <f>Données!B35</f>
        <v>Saint-Oyens</v>
      </c>
      <c r="C35" s="387">
        <f>Ressources!H35</f>
        <v>-259625.98881358909</v>
      </c>
      <c r="D35" s="387">
        <f>Ressources!L35</f>
        <v>0</v>
      </c>
      <c r="E35" s="430">
        <f>Ressources!T35</f>
        <v>5413.6670706773002</v>
      </c>
      <c r="F35" s="388">
        <f t="shared" si="0"/>
        <v>-254212.32174291179</v>
      </c>
      <c r="G35" s="387">
        <f>'Besoins structurels'!I35</f>
        <v>0</v>
      </c>
      <c r="H35" s="387">
        <f>'Besoins structurels'!N35</f>
        <v>-17280</v>
      </c>
      <c r="I35" s="387">
        <f>'Besoins structurels'!V35</f>
        <v>0</v>
      </c>
      <c r="J35" s="389">
        <f t="shared" si="1"/>
        <v>-17280</v>
      </c>
      <c r="K35" s="387">
        <f>'Charges des villes'!N35</f>
        <v>210664.16100974818</v>
      </c>
      <c r="L35" s="387">
        <f>'Charges des villes'!U35</f>
        <v>46222.361849641151</v>
      </c>
      <c r="M35" s="378">
        <f t="shared" si="2"/>
        <v>256886.52285938931</v>
      </c>
      <c r="N35" s="388">
        <f>-VLOOKUP(A35,Paramètres!$B$23:$C$322,2,FALSE)*$N$5</f>
        <v>0</v>
      </c>
      <c r="O35" s="408"/>
      <c r="P35" s="639">
        <f t="shared" si="3"/>
        <v>-14605.798883522511</v>
      </c>
      <c r="Q35" s="640"/>
      <c r="R35" s="640"/>
      <c r="S35" s="641"/>
      <c r="T35" s="388">
        <f>PCS!D35</f>
        <v>449667.06315403234</v>
      </c>
      <c r="U35" s="379">
        <f>Police!U35</f>
        <v>67826.348516237442</v>
      </c>
      <c r="V35" s="431">
        <f t="shared" si="4"/>
        <v>502887.61278674728</v>
      </c>
      <c r="W35" s="229"/>
      <c r="X35" s="229"/>
      <c r="Y35" s="229"/>
      <c r="Z35" s="99"/>
    </row>
    <row r="36" spans="1:26" x14ac:dyDescent="0.25">
      <c r="A36" s="208">
        <f>Données!A36</f>
        <v>5437</v>
      </c>
      <c r="B36" s="209" t="str">
        <f>Données!B36</f>
        <v>Saubraz</v>
      </c>
      <c r="C36" s="387">
        <f>Ressources!H36</f>
        <v>-464289.4181745727</v>
      </c>
      <c r="D36" s="387">
        <f>Ressources!L36</f>
        <v>0</v>
      </c>
      <c r="E36" s="430">
        <f>Ressources!T36</f>
        <v>-39964.528033868533</v>
      </c>
      <c r="F36" s="388">
        <f t="shared" si="0"/>
        <v>-504253.94620844122</v>
      </c>
      <c r="G36" s="387">
        <f>'Besoins structurels'!I36</f>
        <v>-1875</v>
      </c>
      <c r="H36" s="387">
        <f>'Besoins structurels'!N36</f>
        <v>-692</v>
      </c>
      <c r="I36" s="387">
        <f>'Besoins structurels'!V36</f>
        <v>-28732</v>
      </c>
      <c r="J36" s="389">
        <f t="shared" si="1"/>
        <v>-31299</v>
      </c>
      <c r="K36" s="387">
        <f>'Charges des villes'!N36</f>
        <v>205593.47004452447</v>
      </c>
      <c r="L36" s="387">
        <f>'Charges des villes'!U36</f>
        <v>45109.788588490053</v>
      </c>
      <c r="M36" s="378">
        <f t="shared" si="2"/>
        <v>250703.25863301451</v>
      </c>
      <c r="N36" s="388">
        <f>-VLOOKUP(A36,Paramètres!$B$23:$C$322,2,FALSE)*$N$5</f>
        <v>-29100</v>
      </c>
      <c r="O36" s="408"/>
      <c r="P36" s="639">
        <f t="shared" si="3"/>
        <v>-313949.68757542665</v>
      </c>
      <c r="Q36" s="640"/>
      <c r="R36" s="640"/>
      <c r="S36" s="641"/>
      <c r="T36" s="388">
        <f>PCS!D36</f>
        <v>438843.56710437289</v>
      </c>
      <c r="U36" s="379">
        <f>Police!U36</f>
        <v>66193.766823286423</v>
      </c>
      <c r="V36" s="431">
        <f t="shared" si="4"/>
        <v>191087.64635223267</v>
      </c>
      <c r="W36" s="229"/>
      <c r="X36" s="229"/>
      <c r="Y36" s="229"/>
      <c r="Z36" s="99"/>
    </row>
    <row r="37" spans="1:26" x14ac:dyDescent="0.25">
      <c r="A37" s="208">
        <f>Données!A37</f>
        <v>5451</v>
      </c>
      <c r="B37" s="209" t="str">
        <f>Données!B37</f>
        <v>Avenches</v>
      </c>
      <c r="C37" s="387">
        <f>Ressources!H37</f>
        <v>-5464712.6916074613</v>
      </c>
      <c r="D37" s="387">
        <f>Ressources!L37</f>
        <v>0</v>
      </c>
      <c r="E37" s="430">
        <f>Ressources!T37</f>
        <v>-464417.08347709966</v>
      </c>
      <c r="F37" s="388">
        <f t="shared" si="0"/>
        <v>-5929129.7750845607</v>
      </c>
      <c r="G37" s="387">
        <f>'Besoins structurels'!I37</f>
        <v>0</v>
      </c>
      <c r="H37" s="387">
        <f>'Besoins structurels'!N37</f>
        <v>0</v>
      </c>
      <c r="I37" s="387">
        <f>'Besoins structurels'!V37</f>
        <v>-89568</v>
      </c>
      <c r="J37" s="389">
        <f t="shared" si="1"/>
        <v>-89568</v>
      </c>
      <c r="K37" s="387">
        <f>'Charges des villes'!N37</f>
        <v>770490.61503394181</v>
      </c>
      <c r="L37" s="387">
        <f>'Charges des villes'!U37</f>
        <v>297081.30121223949</v>
      </c>
      <c r="M37" s="378">
        <f t="shared" si="2"/>
        <v>1067571.9162461814</v>
      </c>
      <c r="N37" s="388">
        <f>-VLOOKUP(A37,Paramètres!$B$23:$C$322,2,FALSE)*$N$5</f>
        <v>-224200</v>
      </c>
      <c r="O37" s="408"/>
      <c r="P37" s="639">
        <f t="shared" si="3"/>
        <v>-5175325.8588383794</v>
      </c>
      <c r="Q37" s="640"/>
      <c r="R37" s="640"/>
      <c r="S37" s="641"/>
      <c r="T37" s="388">
        <f>PCS!D37</f>
        <v>4816455.7420984423</v>
      </c>
      <c r="U37" s="379">
        <f>Police!U37</f>
        <v>848059.33426146815</v>
      </c>
      <c r="V37" s="431">
        <f t="shared" si="4"/>
        <v>489189.21752153104</v>
      </c>
      <c r="W37" s="229"/>
      <c r="X37" s="229"/>
      <c r="Y37" s="229"/>
      <c r="Z37" s="99"/>
    </row>
    <row r="38" spans="1:26" x14ac:dyDescent="0.25">
      <c r="A38" s="208">
        <f>Données!A38</f>
        <v>5456</v>
      </c>
      <c r="B38" s="209" t="str">
        <f>Données!B38</f>
        <v>Cudrefin</v>
      </c>
      <c r="C38" s="387">
        <f>Ressources!H38</f>
        <v>-1355954.0704915693</v>
      </c>
      <c r="D38" s="387">
        <f>Ressources!L38</f>
        <v>0</v>
      </c>
      <c r="E38" s="430">
        <f>Ressources!T38</f>
        <v>-222422.10026646228</v>
      </c>
      <c r="F38" s="388">
        <f t="shared" si="0"/>
        <v>-1578376.1707580315</v>
      </c>
      <c r="G38" s="387">
        <f>'Besoins structurels'!I38</f>
        <v>0</v>
      </c>
      <c r="H38" s="387">
        <f>'Besoins structurels'!N38</f>
        <v>0</v>
      </c>
      <c r="I38" s="387">
        <f>'Besoins structurels'!V38</f>
        <v>0</v>
      </c>
      <c r="J38" s="389">
        <f t="shared" si="1"/>
        <v>0</v>
      </c>
      <c r="K38" s="387">
        <f>'Charges des villes'!N38</f>
        <v>657201.70143067907</v>
      </c>
      <c r="L38" s="387">
        <f>'Charges des villes'!U38</f>
        <v>190654.59975180213</v>
      </c>
      <c r="M38" s="378">
        <f t="shared" si="2"/>
        <v>847856.30118248123</v>
      </c>
      <c r="N38" s="388">
        <f>-VLOOKUP(A38,Paramètres!$B$23:$C$322,2,FALSE)*$N$5</f>
        <v>0</v>
      </c>
      <c r="O38" s="408"/>
      <c r="P38" s="639">
        <f t="shared" si="3"/>
        <v>-730519.86957555031</v>
      </c>
      <c r="Q38" s="640"/>
      <c r="R38" s="640"/>
      <c r="S38" s="641"/>
      <c r="T38" s="388">
        <f>PCS!D38</f>
        <v>1854753.6412370917</v>
      </c>
      <c r="U38" s="379">
        <f>Police!U38</f>
        <v>301981.14498037123</v>
      </c>
      <c r="V38" s="431">
        <f t="shared" si="4"/>
        <v>1426214.9166419127</v>
      </c>
      <c r="W38" s="229"/>
      <c r="X38" s="229"/>
      <c r="Y38" s="229"/>
      <c r="Z38" s="99"/>
    </row>
    <row r="39" spans="1:26" x14ac:dyDescent="0.25">
      <c r="A39" s="208">
        <f>Données!A39</f>
        <v>5458</v>
      </c>
      <c r="B39" s="209" t="str">
        <f>Données!B39</f>
        <v>Faoug</v>
      </c>
      <c r="C39" s="387">
        <f>Ressources!H39</f>
        <v>-614952.60346567014</v>
      </c>
      <c r="D39" s="387">
        <f>Ressources!L39</f>
        <v>0</v>
      </c>
      <c r="E39" s="430">
        <f>Ressources!T39</f>
        <v>-100475.68735534008</v>
      </c>
      <c r="F39" s="388">
        <f t="shared" si="0"/>
        <v>-715428.29082101025</v>
      </c>
      <c r="G39" s="387">
        <f>'Besoins structurels'!I39</f>
        <v>0</v>
      </c>
      <c r="H39" s="387">
        <f>'Besoins structurels'!N39</f>
        <v>0</v>
      </c>
      <c r="I39" s="387">
        <f>'Besoins structurels'!V39</f>
        <v>0</v>
      </c>
      <c r="J39" s="389">
        <f t="shared" si="1"/>
        <v>0</v>
      </c>
      <c r="K39" s="387">
        <f>'Charges des villes'!N39</f>
        <v>414874.71533648431</v>
      </c>
      <c r="L39" s="387">
        <f>'Charges des villes'!U39</f>
        <v>91028.721366908183</v>
      </c>
      <c r="M39" s="378">
        <f t="shared" si="2"/>
        <v>505903.43670339248</v>
      </c>
      <c r="N39" s="388">
        <f>-VLOOKUP(A39,Paramètres!$B$23:$C$322,2,FALSE)*$N$5</f>
        <v>0</v>
      </c>
      <c r="O39" s="408"/>
      <c r="P39" s="639">
        <f t="shared" si="3"/>
        <v>-209524.85411761777</v>
      </c>
      <c r="Q39" s="640"/>
      <c r="R39" s="640"/>
      <c r="S39" s="641"/>
      <c r="T39" s="388">
        <f>PCS!D39</f>
        <v>885558.76769940718</v>
      </c>
      <c r="U39" s="379">
        <f>Police!U39</f>
        <v>133574.86578690086</v>
      </c>
      <c r="V39" s="431">
        <f t="shared" si="4"/>
        <v>809608.77936869033</v>
      </c>
      <c r="W39" s="229"/>
      <c r="X39" s="229"/>
      <c r="Y39" s="229"/>
      <c r="Z39" s="99"/>
    </row>
    <row r="40" spans="1:26" x14ac:dyDescent="0.25">
      <c r="A40" s="208">
        <f>Données!A40</f>
        <v>5464</v>
      </c>
      <c r="B40" s="209" t="str">
        <f>Données!B40</f>
        <v>Vully-les-Lacs</v>
      </c>
      <c r="C40" s="387">
        <f>Ressources!H40</f>
        <v>-3008423.823658817</v>
      </c>
      <c r="D40" s="387">
        <f>Ressources!L40</f>
        <v>0</v>
      </c>
      <c r="E40" s="430">
        <f>Ressources!T40</f>
        <v>-375011.76132342505</v>
      </c>
      <c r="F40" s="388">
        <f t="shared" si="0"/>
        <v>-3383435.584982242</v>
      </c>
      <c r="G40" s="387">
        <f>'Besoins structurels'!I40</f>
        <v>0</v>
      </c>
      <c r="H40" s="387">
        <f>'Besoins structurels'!N40</f>
        <v>0</v>
      </c>
      <c r="I40" s="387">
        <f>'Besoins structurels'!V40</f>
        <v>0</v>
      </c>
      <c r="J40" s="389">
        <f t="shared" si="1"/>
        <v>0</v>
      </c>
      <c r="K40" s="387">
        <f>'Charges des villes'!N40</f>
        <v>859264.59950507781</v>
      </c>
      <c r="L40" s="387">
        <f>'Charges des villes'!U40</f>
        <v>368059.46339353209</v>
      </c>
      <c r="M40" s="378">
        <f t="shared" si="2"/>
        <v>1227324.0628986098</v>
      </c>
      <c r="N40" s="388">
        <f>-VLOOKUP(A40,Paramètres!$B$23:$C$322,2,FALSE)*$N$5</f>
        <v>0</v>
      </c>
      <c r="O40" s="408"/>
      <c r="P40" s="639">
        <f t="shared" si="3"/>
        <v>-2156111.5220836322</v>
      </c>
      <c r="Q40" s="640"/>
      <c r="R40" s="640"/>
      <c r="S40" s="641"/>
      <c r="T40" s="388">
        <f>PCS!D40</f>
        <v>3580609.284064603</v>
      </c>
      <c r="U40" s="379">
        <f>Police!U40</f>
        <v>614354.44615204888</v>
      </c>
      <c r="V40" s="431">
        <f t="shared" si="4"/>
        <v>2038852.2081330197</v>
      </c>
      <c r="W40" s="229"/>
      <c r="X40" s="229"/>
      <c r="Y40" s="229"/>
      <c r="Z40" s="99"/>
    </row>
    <row r="41" spans="1:26" x14ac:dyDescent="0.25">
      <c r="A41" s="208">
        <f>Données!A41</f>
        <v>5471</v>
      </c>
      <c r="B41" s="209" t="str">
        <f>Données!B41</f>
        <v>Bettens</v>
      </c>
      <c r="C41" s="387">
        <f>Ressources!H41</f>
        <v>-455468.05180192838</v>
      </c>
      <c r="D41" s="387">
        <f>Ressources!L41</f>
        <v>0</v>
      </c>
      <c r="E41" s="430">
        <f>Ressources!T41</f>
        <v>-24246.241975596771</v>
      </c>
      <c r="F41" s="388">
        <f t="shared" si="0"/>
        <v>-479714.29377752513</v>
      </c>
      <c r="G41" s="387">
        <f>'Besoins structurels'!I41</f>
        <v>0</v>
      </c>
      <c r="H41" s="387">
        <f>'Besoins structurels'!N41</f>
        <v>0</v>
      </c>
      <c r="I41" s="387">
        <f>'Besoins structurels'!V41</f>
        <v>-24736</v>
      </c>
      <c r="J41" s="389">
        <f t="shared" si="1"/>
        <v>-24736</v>
      </c>
      <c r="K41" s="387">
        <f>'Charges des villes'!N41</f>
        <v>301014.65457191586</v>
      </c>
      <c r="L41" s="387">
        <f>'Charges des villes'!U41</f>
        <v>66046.394502878931</v>
      </c>
      <c r="M41" s="378">
        <f t="shared" si="2"/>
        <v>367061.04907479481</v>
      </c>
      <c r="N41" s="388">
        <f>-VLOOKUP(A41,Paramètres!$B$23:$C$322,2,FALSE)*$N$5</f>
        <v>0</v>
      </c>
      <c r="O41" s="408"/>
      <c r="P41" s="639">
        <f t="shared" si="3"/>
        <v>-137389.24470273033</v>
      </c>
      <c r="Q41" s="640"/>
      <c r="R41" s="640"/>
      <c r="S41" s="641"/>
      <c r="T41" s="388">
        <f>PCS!D41</f>
        <v>642522.08367523656</v>
      </c>
      <c r="U41" s="379">
        <f>Police!U41</f>
        <v>96915.985954273638</v>
      </c>
      <c r="V41" s="431">
        <f t="shared" si="4"/>
        <v>602048.82492677984</v>
      </c>
      <c r="W41" s="229"/>
      <c r="X41" s="229"/>
      <c r="Y41" s="229"/>
      <c r="Z41" s="99"/>
    </row>
    <row r="42" spans="1:26" x14ac:dyDescent="0.25">
      <c r="A42" s="208">
        <f>Données!A42</f>
        <v>5472</v>
      </c>
      <c r="B42" s="209" t="str">
        <f>Données!B42</f>
        <v>Bournens</v>
      </c>
      <c r="C42" s="387">
        <f>Ressources!H42</f>
        <v>-357245.28024217149</v>
      </c>
      <c r="D42" s="387">
        <f>Ressources!L42</f>
        <v>0</v>
      </c>
      <c r="E42" s="430">
        <f>Ressources!T42</f>
        <v>-49820.753125601026</v>
      </c>
      <c r="F42" s="388">
        <f t="shared" si="0"/>
        <v>-407066.03336777253</v>
      </c>
      <c r="G42" s="387">
        <f>'Besoins structurels'!I42</f>
        <v>0</v>
      </c>
      <c r="H42" s="387">
        <f>'Besoins structurels'!N42</f>
        <v>0</v>
      </c>
      <c r="I42" s="387">
        <f>'Besoins structurels'!V42</f>
        <v>0</v>
      </c>
      <c r="J42" s="389">
        <f t="shared" si="1"/>
        <v>0</v>
      </c>
      <c r="K42" s="387">
        <f>'Charges des villes'!N42</f>
        <v>245237.05395445519</v>
      </c>
      <c r="L42" s="387">
        <f>'Charges des villes'!U42</f>
        <v>53808.088630216836</v>
      </c>
      <c r="M42" s="378">
        <f t="shared" si="2"/>
        <v>299045.14258467202</v>
      </c>
      <c r="N42" s="388">
        <f>-VLOOKUP(A42,Paramètres!$B$23:$C$322,2,FALSE)*$N$5</f>
        <v>0</v>
      </c>
      <c r="O42" s="408"/>
      <c r="P42" s="639">
        <f t="shared" si="3"/>
        <v>-108020.89078310051</v>
      </c>
      <c r="Q42" s="640"/>
      <c r="R42" s="640"/>
      <c r="S42" s="641"/>
      <c r="T42" s="388">
        <f>PCS!D42</f>
        <v>523463.62712898292</v>
      </c>
      <c r="U42" s="379">
        <f>Police!U42</f>
        <v>78957.587331812509</v>
      </c>
      <c r="V42" s="431">
        <f t="shared" si="4"/>
        <v>494400.32367769489</v>
      </c>
      <c r="W42" s="229"/>
      <c r="X42" s="229"/>
      <c r="Y42" s="229"/>
      <c r="Z42" s="99"/>
    </row>
    <row r="43" spans="1:26" x14ac:dyDescent="0.25">
      <c r="A43" s="208">
        <f>Données!A43</f>
        <v>5473</v>
      </c>
      <c r="B43" s="209" t="str">
        <f>Données!B43</f>
        <v>Boussens</v>
      </c>
      <c r="C43" s="387">
        <f>Ressources!H43</f>
        <v>-615804.92680193391</v>
      </c>
      <c r="D43" s="387">
        <f>Ressources!L43</f>
        <v>0</v>
      </c>
      <c r="E43" s="430">
        <f>Ressources!T43</f>
        <v>-135430.27770203052</v>
      </c>
      <c r="F43" s="388">
        <f t="shared" si="0"/>
        <v>-751235.2045039644</v>
      </c>
      <c r="G43" s="387">
        <f>'Besoins structurels'!I43</f>
        <v>0</v>
      </c>
      <c r="H43" s="387">
        <f>'Besoins structurels'!N43</f>
        <v>0</v>
      </c>
      <c r="I43" s="387">
        <f>'Besoins structurels'!V43</f>
        <v>-157462</v>
      </c>
      <c r="J43" s="389">
        <f t="shared" si="1"/>
        <v>-157462</v>
      </c>
      <c r="K43" s="387">
        <f>'Charges des villes'!N43</f>
        <v>462524.00600683806</v>
      </c>
      <c r="L43" s="387">
        <f>'Charges des villes'!U43</f>
        <v>101851.02490719616</v>
      </c>
      <c r="M43" s="378">
        <f t="shared" si="2"/>
        <v>564375.03091403423</v>
      </c>
      <c r="N43" s="388">
        <f>-VLOOKUP(A43,Paramètres!$B$23:$C$322,2,FALSE)*$N$5</f>
        <v>0</v>
      </c>
      <c r="O43" s="408"/>
      <c r="P43" s="639">
        <f t="shared" si="3"/>
        <v>-344322.17358993017</v>
      </c>
      <c r="Q43" s="640"/>
      <c r="R43" s="640"/>
      <c r="S43" s="641"/>
      <c r="T43" s="388">
        <f>PCS!D43</f>
        <v>990841.86563700344</v>
      </c>
      <c r="U43" s="379">
        <f>Police!U43</f>
        <v>149631.15301227281</v>
      </c>
      <c r="V43" s="431">
        <f t="shared" si="4"/>
        <v>796150.84505934606</v>
      </c>
      <c r="W43" s="229"/>
      <c r="X43" s="229"/>
      <c r="Y43" s="229"/>
      <c r="Z43" s="99"/>
    </row>
    <row r="44" spans="1:26" x14ac:dyDescent="0.25">
      <c r="A44" s="208">
        <f>Données!A44</f>
        <v>5474</v>
      </c>
      <c r="B44" s="209" t="str">
        <f>Données!B44</f>
        <v>La Chaux (Cossonay)</v>
      </c>
      <c r="C44" s="387">
        <f>Ressources!H44</f>
        <v>-441155.40875558148</v>
      </c>
      <c r="D44" s="387">
        <f>Ressources!L44</f>
        <v>0</v>
      </c>
      <c r="E44" s="430">
        <f>Ressources!T44</f>
        <v>-39447.077674364751</v>
      </c>
      <c r="F44" s="388">
        <f t="shared" si="0"/>
        <v>-480602.48642994621</v>
      </c>
      <c r="G44" s="387">
        <f>'Besoins structurels'!I44</f>
        <v>-35455</v>
      </c>
      <c r="H44" s="387">
        <f>'Besoins structurels'!N44</f>
        <v>0</v>
      </c>
      <c r="I44" s="387">
        <f>'Besoins structurels'!V44</f>
        <v>-30706</v>
      </c>
      <c r="J44" s="389">
        <f t="shared" si="1"/>
        <v>-66161</v>
      </c>
      <c r="K44" s="387">
        <f>'Charges des villes'!N44</f>
        <v>200983.75098523014</v>
      </c>
      <c r="L44" s="387">
        <f>'Charges des villes'!U44</f>
        <v>44098.358351079965</v>
      </c>
      <c r="M44" s="378">
        <f t="shared" si="2"/>
        <v>245082.10933631012</v>
      </c>
      <c r="N44" s="388">
        <f>-VLOOKUP(A44,Paramètres!$B$23:$C$322,2,FALSE)*$N$5</f>
        <v>-40700</v>
      </c>
      <c r="O44" s="408"/>
      <c r="P44" s="639">
        <f t="shared" si="3"/>
        <v>-342381.37709363614</v>
      </c>
      <c r="Q44" s="640"/>
      <c r="R44" s="640"/>
      <c r="S44" s="641"/>
      <c r="T44" s="388">
        <f>PCS!D44</f>
        <v>429004.02524104615</v>
      </c>
      <c r="U44" s="379">
        <f>Police!U44</f>
        <v>64709.601647876421</v>
      </c>
      <c r="V44" s="431">
        <f t="shared" si="4"/>
        <v>151332.24979528645</v>
      </c>
      <c r="W44" s="229"/>
      <c r="X44" s="229"/>
      <c r="Y44" s="229"/>
      <c r="Z44" s="99"/>
    </row>
    <row r="45" spans="1:26" x14ac:dyDescent="0.25">
      <c r="A45" s="208">
        <f>Données!A45</f>
        <v>5475</v>
      </c>
      <c r="B45" s="209" t="str">
        <f>Données!B45</f>
        <v>Chavannes-le-Veyron</v>
      </c>
      <c r="C45" s="387">
        <f>Ressources!H45</f>
        <v>-204391.2701450444</v>
      </c>
      <c r="D45" s="387">
        <f>Ressources!L45</f>
        <v>0</v>
      </c>
      <c r="E45" s="430">
        <f>Ressources!T45</f>
        <v>28860.024247939538</v>
      </c>
      <c r="F45" s="388">
        <f t="shared" si="0"/>
        <v>-175531.24589710485</v>
      </c>
      <c r="G45" s="387">
        <f>'Besoins structurels'!I45</f>
        <v>-14783</v>
      </c>
      <c r="H45" s="387">
        <f>'Besoins structurels'!N45</f>
        <v>0</v>
      </c>
      <c r="I45" s="387">
        <f>'Besoins structurels'!V45</f>
        <v>-34546</v>
      </c>
      <c r="J45" s="389">
        <f t="shared" si="1"/>
        <v>-49329</v>
      </c>
      <c r="K45" s="387">
        <f>'Charges des villes'!N45</f>
        <v>73755.504948708316</v>
      </c>
      <c r="L45" s="387">
        <f>'Charges des villes'!U45</f>
        <v>16182.883798561454</v>
      </c>
      <c r="M45" s="378">
        <f t="shared" si="2"/>
        <v>89938.388747269768</v>
      </c>
      <c r="N45" s="388">
        <f>-VLOOKUP(A45,Paramètres!$B$23:$C$322,2,FALSE)*$N$5</f>
        <v>-18100</v>
      </c>
      <c r="O45" s="408"/>
      <c r="P45" s="639">
        <f t="shared" si="3"/>
        <v>-153021.85714983509</v>
      </c>
      <c r="Q45" s="640"/>
      <c r="R45" s="640"/>
      <c r="S45" s="641"/>
      <c r="T45" s="388">
        <f>PCS!D45</f>
        <v>157432.66981322796</v>
      </c>
      <c r="U45" s="379">
        <f>Police!U45</f>
        <v>23746.642806560154</v>
      </c>
      <c r="V45" s="431">
        <f t="shared" si="4"/>
        <v>28157.455469953016</v>
      </c>
      <c r="W45" s="229"/>
      <c r="X45" s="229"/>
      <c r="Y45" s="229"/>
      <c r="Z45" s="99"/>
    </row>
    <row r="46" spans="1:26" x14ac:dyDescent="0.25">
      <c r="A46" s="208">
        <f>Données!A46</f>
        <v>5476</v>
      </c>
      <c r="B46" s="209" t="str">
        <f>Données!B46</f>
        <v>Chevilly</v>
      </c>
      <c r="C46" s="387">
        <f>Ressources!H46</f>
        <v>-277024.40385413653</v>
      </c>
      <c r="D46" s="387">
        <f>Ressources!L46</f>
        <v>0</v>
      </c>
      <c r="E46" s="430">
        <f>Ressources!T46</f>
        <v>-39260.564438830741</v>
      </c>
      <c r="F46" s="388">
        <f t="shared" si="0"/>
        <v>-316284.9682929673</v>
      </c>
      <c r="G46" s="387">
        <f>'Besoins structurels'!I46</f>
        <v>-11775</v>
      </c>
      <c r="H46" s="387">
        <f>'Besoins structurels'!N46</f>
        <v>0</v>
      </c>
      <c r="I46" s="387">
        <f>'Besoins structurels'!V46</f>
        <v>-29124</v>
      </c>
      <c r="J46" s="389">
        <f t="shared" si="1"/>
        <v>-40899</v>
      </c>
      <c r="K46" s="387">
        <f>'Charges des villes'!N46</f>
        <v>159496.27945158174</v>
      </c>
      <c r="L46" s="387">
        <f>'Charges des villes'!U46</f>
        <v>34995.486214389144</v>
      </c>
      <c r="M46" s="378">
        <f t="shared" si="2"/>
        <v>194491.76566597089</v>
      </c>
      <c r="N46" s="388">
        <f>-VLOOKUP(A46,Paramètres!$B$23:$C$322,2,FALSE)*$N$5</f>
        <v>0</v>
      </c>
      <c r="O46" s="408"/>
      <c r="P46" s="639">
        <f t="shared" si="3"/>
        <v>-162692.20262699641</v>
      </c>
      <c r="Q46" s="640"/>
      <c r="R46" s="640"/>
      <c r="S46" s="641"/>
      <c r="T46" s="388">
        <f>PCS!D46</f>
        <v>340448.14847110544</v>
      </c>
      <c r="U46" s="379">
        <f>Police!U46</f>
        <v>51352.115069186329</v>
      </c>
      <c r="V46" s="431">
        <f t="shared" si="4"/>
        <v>229108.06091329537</v>
      </c>
      <c r="W46" s="229"/>
      <c r="X46" s="229"/>
      <c r="Y46" s="229"/>
      <c r="Z46" s="99"/>
    </row>
    <row r="47" spans="1:26" x14ac:dyDescent="0.25">
      <c r="A47" s="208">
        <f>Données!A47</f>
        <v>5477</v>
      </c>
      <c r="B47" s="209" t="str">
        <f>Données!B47</f>
        <v>Cossonay</v>
      </c>
      <c r="C47" s="387">
        <f>Ressources!H47</f>
        <v>-3292949.5350531372</v>
      </c>
      <c r="D47" s="387">
        <f>Ressources!L47</f>
        <v>0</v>
      </c>
      <c r="E47" s="430">
        <f>Ressources!T47</f>
        <v>107992.00477124774</v>
      </c>
      <c r="F47" s="388">
        <f t="shared" si="0"/>
        <v>-3184957.5302818893</v>
      </c>
      <c r="G47" s="387">
        <f>'Besoins structurels'!I47</f>
        <v>0</v>
      </c>
      <c r="H47" s="387">
        <f>'Besoins structurels'!N47</f>
        <v>0</v>
      </c>
      <c r="I47" s="387">
        <f>'Besoins structurels'!V47</f>
        <v>0</v>
      </c>
      <c r="J47" s="389">
        <f t="shared" si="1"/>
        <v>0</v>
      </c>
      <c r="K47" s="387">
        <f>'Charges des villes'!N47</f>
        <v>769995.85556634748</v>
      </c>
      <c r="L47" s="387">
        <f>'Charges des villes'!U47</f>
        <v>495803.10237842653</v>
      </c>
      <c r="M47" s="378">
        <f t="shared" si="2"/>
        <v>1265798.9579447741</v>
      </c>
      <c r="N47" s="388">
        <f>-VLOOKUP(A47,Paramètres!$B$23:$C$322,2,FALSE)*$N$5</f>
        <v>-194400</v>
      </c>
      <c r="O47" s="408"/>
      <c r="P47" s="639">
        <f t="shared" si="3"/>
        <v>-2113558.5723371152</v>
      </c>
      <c r="Q47" s="640"/>
      <c r="R47" s="640"/>
      <c r="S47" s="641"/>
      <c r="T47" s="388">
        <f>PCS!D47</f>
        <v>4823343.421402771</v>
      </c>
      <c r="U47" s="379">
        <f>Police!U47</f>
        <v>849361.82965698245</v>
      </c>
      <c r="V47" s="431">
        <f t="shared" si="4"/>
        <v>3559146.6787226382</v>
      </c>
      <c r="W47" s="229"/>
      <c r="X47" s="229"/>
      <c r="Y47" s="229"/>
      <c r="Z47" s="99"/>
    </row>
    <row r="48" spans="1:26" x14ac:dyDescent="0.25">
      <c r="A48" s="208">
        <f>Données!A48</f>
        <v>5479</v>
      </c>
      <c r="B48" s="209" t="str">
        <f>Données!B48</f>
        <v>Cuarnens</v>
      </c>
      <c r="C48" s="387">
        <f>Ressources!H48</f>
        <v>-454639.7053077005</v>
      </c>
      <c r="D48" s="387">
        <f>Ressources!L48</f>
        <v>0</v>
      </c>
      <c r="E48" s="430">
        <f>Ressources!T48</f>
        <v>-93464.814668161984</v>
      </c>
      <c r="F48" s="388">
        <f t="shared" si="0"/>
        <v>-548104.51997586247</v>
      </c>
      <c r="G48" s="387">
        <f>'Besoins structurels'!I48</f>
        <v>-28264</v>
      </c>
      <c r="H48" s="387">
        <f>'Besoins structurels'!N48</f>
        <v>0</v>
      </c>
      <c r="I48" s="387">
        <f>'Besoins structurels'!V48</f>
        <v>-18785</v>
      </c>
      <c r="J48" s="389">
        <f t="shared" si="1"/>
        <v>-47049</v>
      </c>
      <c r="K48" s="387">
        <f>'Charges des villes'!N48</f>
        <v>258605.23922640856</v>
      </c>
      <c r="L48" s="387">
        <f>'Charges des villes'!U48</f>
        <v>56741.236318706098</v>
      </c>
      <c r="M48" s="378">
        <f t="shared" si="2"/>
        <v>315346.47554511466</v>
      </c>
      <c r="N48" s="388">
        <f>-VLOOKUP(A48,Paramètres!$B$23:$C$322,2,FALSE)*$N$5</f>
        <v>-183700</v>
      </c>
      <c r="O48" s="408"/>
      <c r="P48" s="639">
        <f t="shared" si="3"/>
        <v>-463507.0444307478</v>
      </c>
      <c r="Q48" s="640"/>
      <c r="R48" s="640"/>
      <c r="S48" s="641"/>
      <c r="T48" s="388">
        <f>PCS!D48</f>
        <v>551998.29853263055</v>
      </c>
      <c r="U48" s="379">
        <f>Police!U48</f>
        <v>83261.666340501542</v>
      </c>
      <c r="V48" s="431">
        <f t="shared" si="4"/>
        <v>171752.92044238429</v>
      </c>
      <c r="W48" s="229"/>
      <c r="X48" s="229"/>
      <c r="Y48" s="229"/>
      <c r="Z48" s="99"/>
    </row>
    <row r="49" spans="1:26" x14ac:dyDescent="0.25">
      <c r="A49" s="208">
        <f>Données!A49</f>
        <v>5480</v>
      </c>
      <c r="B49" s="209" t="str">
        <f>Données!B49</f>
        <v>Daillens</v>
      </c>
      <c r="C49" s="387">
        <f>Ressources!H49</f>
        <v>-271064.86291890359</v>
      </c>
      <c r="D49" s="387">
        <f>Ressources!L49</f>
        <v>0</v>
      </c>
      <c r="E49" s="430">
        <f>Ressources!T49</f>
        <v>12719.059990534734</v>
      </c>
      <c r="F49" s="388">
        <f t="shared" si="0"/>
        <v>-258345.80292836885</v>
      </c>
      <c r="G49" s="387">
        <f>'Besoins structurels'!I49</f>
        <v>0</v>
      </c>
      <c r="H49" s="387">
        <f>'Besoins structurels'!N49</f>
        <v>0</v>
      </c>
      <c r="I49" s="387">
        <f>'Besoins structurels'!V49</f>
        <v>-138532</v>
      </c>
      <c r="J49" s="389">
        <f t="shared" si="1"/>
        <v>-138532</v>
      </c>
      <c r="K49" s="387">
        <f>'Charges des villes'!N49</f>
        <v>482923.03559566871</v>
      </c>
      <c r="L49" s="387">
        <f>'Charges des villes'!U49</f>
        <v>111156.18309136899</v>
      </c>
      <c r="M49" s="378">
        <f t="shared" si="2"/>
        <v>594079.2186870377</v>
      </c>
      <c r="N49" s="388">
        <f>-VLOOKUP(A49,Paramètres!$B$23:$C$322,2,FALSE)*$N$5</f>
        <v>0</v>
      </c>
      <c r="O49" s="408"/>
      <c r="P49" s="639">
        <f t="shared" si="3"/>
        <v>197201.41575866885</v>
      </c>
      <c r="Q49" s="640"/>
      <c r="R49" s="640"/>
      <c r="S49" s="641"/>
      <c r="T49" s="388">
        <f>PCS!D49</f>
        <v>1081365.6507796096</v>
      </c>
      <c r="U49" s="379">
        <f>Police!U49</f>
        <v>165594.93349184579</v>
      </c>
      <c r="V49" s="431">
        <f t="shared" si="4"/>
        <v>1444162.0000301243</v>
      </c>
      <c r="W49" s="229"/>
      <c r="X49" s="229"/>
      <c r="Y49" s="229"/>
      <c r="Z49" s="99"/>
    </row>
    <row r="50" spans="1:26" x14ac:dyDescent="0.25">
      <c r="A50" s="208">
        <f>Données!A50</f>
        <v>5481</v>
      </c>
      <c r="B50" s="209" t="str">
        <f>Données!B50</f>
        <v>Dizy</v>
      </c>
      <c r="C50" s="387">
        <f>Ressources!H50</f>
        <v>-159333.0724480942</v>
      </c>
      <c r="D50" s="387">
        <f>Ressources!L50</f>
        <v>0</v>
      </c>
      <c r="E50" s="430">
        <f>Ressources!T50</f>
        <v>-27057.089556189931</v>
      </c>
      <c r="F50" s="388">
        <f t="shared" si="0"/>
        <v>-186390.16200428412</v>
      </c>
      <c r="G50" s="387">
        <f>'Besoins structurels'!I50</f>
        <v>-12558</v>
      </c>
      <c r="H50" s="387">
        <f>'Besoins structurels'!N50</f>
        <v>0</v>
      </c>
      <c r="I50" s="387">
        <f>'Besoins structurels'!V50</f>
        <v>-33096</v>
      </c>
      <c r="J50" s="389">
        <f t="shared" si="1"/>
        <v>-45654</v>
      </c>
      <c r="K50" s="387">
        <f>'Charges des villes'!N50</f>
        <v>109711.31361120362</v>
      </c>
      <c r="L50" s="387">
        <f>'Charges des villes'!U50</f>
        <v>24072.039650360162</v>
      </c>
      <c r="M50" s="378">
        <f t="shared" si="2"/>
        <v>133783.35326156378</v>
      </c>
      <c r="N50" s="388">
        <f>-VLOOKUP(A50,Paramètres!$B$23:$C$322,2,FALSE)*$N$5</f>
        <v>0</v>
      </c>
      <c r="O50" s="408"/>
      <c r="P50" s="639">
        <f t="shared" si="3"/>
        <v>-98260.808742720343</v>
      </c>
      <c r="Q50" s="640"/>
      <c r="R50" s="640"/>
      <c r="S50" s="641"/>
      <c r="T50" s="388">
        <f>PCS!D50</f>
        <v>234181.09634717659</v>
      </c>
      <c r="U50" s="379">
        <f>Police!U50</f>
        <v>35323.131174758229</v>
      </c>
      <c r="V50" s="431">
        <f t="shared" si="4"/>
        <v>171243.41877921447</v>
      </c>
      <c r="W50" s="229"/>
      <c r="X50" s="229"/>
      <c r="Y50" s="229"/>
      <c r="Z50" s="99"/>
    </row>
    <row r="51" spans="1:26" x14ac:dyDescent="0.25">
      <c r="A51" s="208">
        <f>Données!A51</f>
        <v>5482</v>
      </c>
      <c r="B51" s="209" t="str">
        <f>Données!B51</f>
        <v>Eclépens</v>
      </c>
      <c r="C51" s="387">
        <f>Ressources!H51</f>
        <v>-729558.26829170622</v>
      </c>
      <c r="D51" s="387">
        <f>Ressources!L51</f>
        <v>0</v>
      </c>
      <c r="E51" s="430">
        <f>Ressources!T51</f>
        <v>-31917.138035907585</v>
      </c>
      <c r="F51" s="388">
        <f t="shared" si="0"/>
        <v>-761475.40632761386</v>
      </c>
      <c r="G51" s="387">
        <f>'Besoins structurels'!I51</f>
        <v>0</v>
      </c>
      <c r="H51" s="387">
        <f>'Besoins structurels'!N51</f>
        <v>0</v>
      </c>
      <c r="I51" s="387">
        <f>'Besoins structurels'!V51</f>
        <v>0</v>
      </c>
      <c r="J51" s="389">
        <f t="shared" si="1"/>
        <v>0</v>
      </c>
      <c r="K51" s="387">
        <f>'Charges des villes'!N51</f>
        <v>507756.63683424529</v>
      </c>
      <c r="L51" s="387">
        <f>'Charges des villes'!U51</f>
        <v>122484.201750362</v>
      </c>
      <c r="M51" s="378">
        <f t="shared" si="2"/>
        <v>630240.83858460723</v>
      </c>
      <c r="N51" s="388">
        <f>-VLOOKUP(A51,Paramètres!$B$23:$C$322,2,FALSE)*$N$5</f>
        <v>0</v>
      </c>
      <c r="O51" s="408"/>
      <c r="P51" s="639">
        <f t="shared" si="3"/>
        <v>-131234.56774300663</v>
      </c>
      <c r="Q51" s="640"/>
      <c r="R51" s="640"/>
      <c r="S51" s="641"/>
      <c r="T51" s="388">
        <f>PCS!D51</f>
        <v>1191568.5196488691</v>
      </c>
      <c r="U51" s="379">
        <f>Police!U51</f>
        <v>185029.10103219544</v>
      </c>
      <c r="V51" s="431">
        <f t="shared" si="4"/>
        <v>1245363.0529380578</v>
      </c>
      <c r="W51" s="229"/>
      <c r="X51" s="229"/>
      <c r="Y51" s="229"/>
      <c r="Z51" s="99"/>
    </row>
    <row r="52" spans="1:26" x14ac:dyDescent="0.25">
      <c r="A52" s="208">
        <f>Données!A52</f>
        <v>5483</v>
      </c>
      <c r="B52" s="209" t="str">
        <f>Données!B52</f>
        <v>Ferreyres</v>
      </c>
      <c r="C52" s="387">
        <f>Ressources!H52</f>
        <v>-216127.75507091518</v>
      </c>
      <c r="D52" s="387">
        <f>Ressources!L52</f>
        <v>0</v>
      </c>
      <c r="E52" s="430">
        <f>Ressources!T52</f>
        <v>-46449.686608666758</v>
      </c>
      <c r="F52" s="388">
        <f t="shared" si="0"/>
        <v>-262577.44167958194</v>
      </c>
      <c r="G52" s="387">
        <f>'Besoins structurels'!I52</f>
        <v>-7831</v>
      </c>
      <c r="H52" s="387">
        <f>'Besoins structurels'!N52</f>
        <v>0</v>
      </c>
      <c r="I52" s="387">
        <f>'Besoins structurels'!V52</f>
        <v>0</v>
      </c>
      <c r="J52" s="389">
        <f t="shared" si="1"/>
        <v>-7831</v>
      </c>
      <c r="K52" s="387">
        <f>'Charges des villes'!N52</f>
        <v>142440.31893219292</v>
      </c>
      <c r="L52" s="387">
        <f>'Charges des villes'!U52</f>
        <v>31253.19433597181</v>
      </c>
      <c r="M52" s="378">
        <f t="shared" si="2"/>
        <v>173693.51326816474</v>
      </c>
      <c r="N52" s="388">
        <f>-VLOOKUP(A52,Paramètres!$B$23:$C$322,2,FALSE)*$N$5</f>
        <v>0</v>
      </c>
      <c r="O52" s="408"/>
      <c r="P52" s="639">
        <f t="shared" si="3"/>
        <v>-96714.928411417204</v>
      </c>
      <c r="Q52" s="640"/>
      <c r="R52" s="640"/>
      <c r="S52" s="641"/>
      <c r="T52" s="388">
        <f>PCS!D52</f>
        <v>304041.84357679647</v>
      </c>
      <c r="U52" s="379">
        <f>Police!U52</f>
        <v>45860.703920169304</v>
      </c>
      <c r="V52" s="431">
        <f t="shared" si="4"/>
        <v>253187.61908554856</v>
      </c>
      <c r="W52" s="229"/>
      <c r="X52" s="229"/>
      <c r="Y52" s="229"/>
      <c r="Z52" s="99"/>
    </row>
    <row r="53" spans="1:26" x14ac:dyDescent="0.25">
      <c r="A53" s="208">
        <f>Données!A53</f>
        <v>5484</v>
      </c>
      <c r="B53" s="209" t="str">
        <f>Données!B53</f>
        <v>Gollion</v>
      </c>
      <c r="C53" s="387">
        <f>Ressources!H53</f>
        <v>-1006036.5524432425</v>
      </c>
      <c r="D53" s="387">
        <f>Ressources!L53</f>
        <v>0</v>
      </c>
      <c r="E53" s="430">
        <f>Ressources!T53</f>
        <v>-88084.646251202066</v>
      </c>
      <c r="F53" s="388">
        <f t="shared" si="0"/>
        <v>-1094121.1986944445</v>
      </c>
      <c r="G53" s="387">
        <f>'Besoins structurels'!I53</f>
        <v>0</v>
      </c>
      <c r="H53" s="387">
        <f>'Besoins structurels'!N53</f>
        <v>0</v>
      </c>
      <c r="I53" s="387">
        <f>'Besoins structurels'!V53</f>
        <v>-3598</v>
      </c>
      <c r="J53" s="389">
        <f t="shared" si="1"/>
        <v>-3598</v>
      </c>
      <c r="K53" s="387">
        <f>'Charges des villes'!N53</f>
        <v>475162.53520861361</v>
      </c>
      <c r="L53" s="387">
        <f>'Charges des villes'!U53</f>
        <v>107616.17726043367</v>
      </c>
      <c r="M53" s="378">
        <f t="shared" si="2"/>
        <v>582778.71246904728</v>
      </c>
      <c r="N53" s="388">
        <f>-VLOOKUP(A53,Paramètres!$B$23:$C$322,2,FALSE)*$N$5</f>
        <v>-136100</v>
      </c>
      <c r="O53" s="408"/>
      <c r="P53" s="639">
        <f t="shared" si="3"/>
        <v>-651040.48622539721</v>
      </c>
      <c r="Q53" s="640"/>
      <c r="R53" s="640"/>
      <c r="S53" s="641"/>
      <c r="T53" s="388">
        <f>PCS!D53</f>
        <v>1046927.2542579658</v>
      </c>
      <c r="U53" s="379">
        <f>Police!U53</f>
        <v>159521.7561354865</v>
      </c>
      <c r="V53" s="431">
        <f t="shared" si="4"/>
        <v>555408.52416805516</v>
      </c>
      <c r="W53" s="229"/>
      <c r="X53" s="229"/>
      <c r="Y53" s="229"/>
      <c r="Z53" s="99"/>
    </row>
    <row r="54" spans="1:26" x14ac:dyDescent="0.25">
      <c r="A54" s="208">
        <f>Données!A54</f>
        <v>5485</v>
      </c>
      <c r="B54" s="209" t="str">
        <f>Données!B54</f>
        <v>Grancy</v>
      </c>
      <c r="C54" s="387">
        <f>Ressources!H54</f>
        <v>-11721.780116590033</v>
      </c>
      <c r="D54" s="387">
        <f>Ressources!L54</f>
        <v>0</v>
      </c>
      <c r="E54" s="430">
        <f>Ressources!T54</f>
        <v>-36201.219413204046</v>
      </c>
      <c r="F54" s="388">
        <f t="shared" si="0"/>
        <v>-47922.999529794077</v>
      </c>
      <c r="G54" s="387">
        <f>'Besoins structurels'!I54</f>
        <v>-15015</v>
      </c>
      <c r="H54" s="387">
        <f>'Besoins structurels'!N54</f>
        <v>0</v>
      </c>
      <c r="I54" s="387">
        <f>'Besoins structurels'!V54</f>
        <v>-33522</v>
      </c>
      <c r="J54" s="389">
        <f t="shared" si="1"/>
        <v>-48537</v>
      </c>
      <c r="K54" s="387">
        <f>'Charges des villes'!N54</f>
        <v>248924.82920189059</v>
      </c>
      <c r="L54" s="387">
        <f>'Charges des villes'!U54</f>
        <v>54617.232820144905</v>
      </c>
      <c r="M54" s="378">
        <f t="shared" si="2"/>
        <v>303542.06202203548</v>
      </c>
      <c r="N54" s="388">
        <f>-VLOOKUP(A54,Paramètres!$B$23:$C$322,2,FALSE)*$N$5</f>
        <v>0</v>
      </c>
      <c r="O54" s="408"/>
      <c r="P54" s="639">
        <f t="shared" si="3"/>
        <v>207082.06249224138</v>
      </c>
      <c r="Q54" s="640"/>
      <c r="R54" s="640"/>
      <c r="S54" s="641"/>
      <c r="T54" s="388">
        <f>PCS!D54</f>
        <v>531335.26061964431</v>
      </c>
      <c r="U54" s="379">
        <f>Police!U54</f>
        <v>80144.919472140537</v>
      </c>
      <c r="V54" s="431">
        <f t="shared" si="4"/>
        <v>818562.24258402619</v>
      </c>
      <c r="W54" s="229"/>
      <c r="X54" s="229"/>
      <c r="Y54" s="229"/>
      <c r="Z54" s="99"/>
    </row>
    <row r="55" spans="1:26" x14ac:dyDescent="0.25">
      <c r="A55" s="208">
        <f>Données!A55</f>
        <v>5486</v>
      </c>
      <c r="B55" s="209" t="str">
        <f>Données!B55</f>
        <v>L'Isle</v>
      </c>
      <c r="C55" s="387">
        <f>Ressources!H55</f>
        <v>-913355.18614873383</v>
      </c>
      <c r="D55" s="387">
        <f>Ressources!L55</f>
        <v>0</v>
      </c>
      <c r="E55" s="430">
        <f>Ressources!T55</f>
        <v>-77883.636401614145</v>
      </c>
      <c r="F55" s="388">
        <f t="shared" si="0"/>
        <v>-991238.82255034801</v>
      </c>
      <c r="G55" s="387">
        <f>'Besoins structurels'!I55</f>
        <v>-81122</v>
      </c>
      <c r="H55" s="387">
        <f>'Besoins structurels'!N55</f>
        <v>-7706</v>
      </c>
      <c r="I55" s="387">
        <f>'Besoins structurels'!V55</f>
        <v>0</v>
      </c>
      <c r="J55" s="389">
        <f t="shared" si="1"/>
        <v>-88828</v>
      </c>
      <c r="K55" s="387">
        <f>'Charges des villes'!N55</f>
        <v>482257.84984820685</v>
      </c>
      <c r="L55" s="387">
        <f>'Charges des villes'!U55</f>
        <v>110852.75402014596</v>
      </c>
      <c r="M55" s="378">
        <f t="shared" si="2"/>
        <v>593110.60386835283</v>
      </c>
      <c r="N55" s="388">
        <f>-VLOOKUP(A55,Paramètres!$B$23:$C$322,2,FALSE)*$N$5</f>
        <v>-184600</v>
      </c>
      <c r="O55" s="408"/>
      <c r="P55" s="639">
        <f t="shared" si="3"/>
        <v>-671556.21868199517</v>
      </c>
      <c r="Q55" s="640"/>
      <c r="R55" s="640"/>
      <c r="S55" s="641"/>
      <c r="T55" s="388">
        <f>PCS!D55</f>
        <v>1078413.7882206114</v>
      </c>
      <c r="U55" s="379">
        <f>Police!U55</f>
        <v>165074.37543272928</v>
      </c>
      <c r="V55" s="431">
        <f t="shared" si="4"/>
        <v>571931.94497134548</v>
      </c>
      <c r="W55" s="229"/>
      <c r="X55" s="229"/>
      <c r="Y55" s="229"/>
      <c r="Z55" s="99"/>
    </row>
    <row r="56" spans="1:26" x14ac:dyDescent="0.25">
      <c r="A56" s="208">
        <f>Données!A56</f>
        <v>5487</v>
      </c>
      <c r="B56" s="209" t="str">
        <f>Données!B56</f>
        <v>Lussery-Villars</v>
      </c>
      <c r="C56" s="387">
        <f>Ressources!H56</f>
        <v>-428397.42374959</v>
      </c>
      <c r="D56" s="387">
        <f>Ressources!L56</f>
        <v>0</v>
      </c>
      <c r="E56" s="430">
        <f>Ressources!T56</f>
        <v>-52053.857824776846</v>
      </c>
      <c r="F56" s="388">
        <f t="shared" si="0"/>
        <v>-480451.28157436685</v>
      </c>
      <c r="G56" s="387">
        <f>'Besoins structurels'!I56</f>
        <v>-154</v>
      </c>
      <c r="H56" s="387">
        <f>'Besoins structurels'!N56</f>
        <v>0</v>
      </c>
      <c r="I56" s="387">
        <f>'Besoins structurels'!V56</f>
        <v>0</v>
      </c>
      <c r="J56" s="389">
        <f t="shared" si="1"/>
        <v>-154</v>
      </c>
      <c r="K56" s="387">
        <f>'Charges des villes'!N56</f>
        <v>215734.8519749718</v>
      </c>
      <c r="L56" s="387">
        <f>'Charges des villes'!U56</f>
        <v>47334.935110792256</v>
      </c>
      <c r="M56" s="378">
        <f t="shared" si="2"/>
        <v>263069.78708576405</v>
      </c>
      <c r="N56" s="388">
        <f>-VLOOKUP(A56,Paramètres!$B$23:$C$322,2,FALSE)*$N$5</f>
        <v>0</v>
      </c>
      <c r="O56" s="408"/>
      <c r="P56" s="639">
        <f t="shared" si="3"/>
        <v>-217535.4944886028</v>
      </c>
      <c r="Q56" s="640"/>
      <c r="R56" s="640"/>
      <c r="S56" s="641"/>
      <c r="T56" s="388">
        <f>PCS!D56</f>
        <v>460490.55920369172</v>
      </c>
      <c r="U56" s="379">
        <f>Police!U56</f>
        <v>69458.930209188446</v>
      </c>
      <c r="V56" s="431">
        <f t="shared" si="4"/>
        <v>312413.99492427736</v>
      </c>
      <c r="W56" s="229"/>
      <c r="X56" s="229"/>
      <c r="Y56" s="229"/>
      <c r="Z56" s="99"/>
    </row>
    <row r="57" spans="1:26" x14ac:dyDescent="0.25">
      <c r="A57" s="208">
        <f>Données!A57</f>
        <v>5488</v>
      </c>
      <c r="B57" s="209" t="str">
        <f>Données!B57</f>
        <v>Mauraz</v>
      </c>
      <c r="C57" s="387">
        <f>Ressources!H57</f>
        <v>-76010.722418243939</v>
      </c>
      <c r="D57" s="387">
        <f>Ressources!L57</f>
        <v>0</v>
      </c>
      <c r="E57" s="430">
        <f>Ressources!T57</f>
        <v>-13527.268908675316</v>
      </c>
      <c r="F57" s="388">
        <f t="shared" si="0"/>
        <v>-89537.991326919262</v>
      </c>
      <c r="G57" s="387">
        <f>'Besoins structurels'!I57</f>
        <v>0</v>
      </c>
      <c r="H57" s="387">
        <f>'Besoins structurels'!N57</f>
        <v>0</v>
      </c>
      <c r="I57" s="387">
        <f>'Besoins structurels'!V57</f>
        <v>0</v>
      </c>
      <c r="J57" s="389">
        <f t="shared" si="1"/>
        <v>0</v>
      </c>
      <c r="K57" s="387">
        <f>'Charges des villes'!N57</f>
        <v>30885.117697271609</v>
      </c>
      <c r="L57" s="387">
        <f>'Charges des villes'!U57</f>
        <v>6776.5825906476093</v>
      </c>
      <c r="M57" s="378">
        <f t="shared" si="2"/>
        <v>37661.700287919215</v>
      </c>
      <c r="N57" s="388">
        <f>-VLOOKUP(A57,Paramètres!$B$23:$C$322,2,FALSE)*$N$5</f>
        <v>0</v>
      </c>
      <c r="O57" s="408"/>
      <c r="P57" s="639">
        <f t="shared" si="3"/>
        <v>-51876.291039000047</v>
      </c>
      <c r="Q57" s="640"/>
      <c r="R57" s="640"/>
      <c r="S57" s="641"/>
      <c r="T57" s="388">
        <f>PCS!D57</f>
        <v>65924.930484289202</v>
      </c>
      <c r="U57" s="379">
        <f>Police!U57</f>
        <v>9943.9066752470644</v>
      </c>
      <c r="V57" s="431">
        <f t="shared" si="4"/>
        <v>23992.546120536219</v>
      </c>
      <c r="W57" s="229"/>
      <c r="X57" s="229"/>
      <c r="Y57" s="229"/>
      <c r="Z57" s="99"/>
    </row>
    <row r="58" spans="1:26" x14ac:dyDescent="0.25">
      <c r="A58" s="208">
        <f>Données!A58</f>
        <v>5489</v>
      </c>
      <c r="B58" s="209" t="str">
        <f>Données!B58</f>
        <v>Mex</v>
      </c>
      <c r="C58" s="387">
        <f>Ressources!H58</f>
        <v>1531715.1611795998</v>
      </c>
      <c r="D58" s="387">
        <f>Ressources!L58</f>
        <v>0</v>
      </c>
      <c r="E58" s="430">
        <f>Ressources!T58</f>
        <v>-60050.481583855697</v>
      </c>
      <c r="F58" s="388">
        <f t="shared" si="0"/>
        <v>1471664.6795957442</v>
      </c>
      <c r="G58" s="387">
        <f>'Besoins structurels'!I58</f>
        <v>0</v>
      </c>
      <c r="H58" s="387">
        <f>'Besoins structurels'!N58</f>
        <v>0</v>
      </c>
      <c r="I58" s="387">
        <f>'Besoins structurels'!V58</f>
        <v>0</v>
      </c>
      <c r="J58" s="389">
        <f t="shared" si="1"/>
        <v>0</v>
      </c>
      <c r="K58" s="387">
        <f>'Charges des villes'!N58</f>
        <v>372926.27189690643</v>
      </c>
      <c r="L58" s="387">
        <f>'Charges des villes'!U58</f>
        <v>81824.70620647636</v>
      </c>
      <c r="M58" s="378">
        <f t="shared" si="2"/>
        <v>454750.9781033828</v>
      </c>
      <c r="N58" s="388">
        <f>-VLOOKUP(A58,Paramètres!$B$23:$C$322,2,FALSE)*$N$5</f>
        <v>0</v>
      </c>
      <c r="O58" s="408"/>
      <c r="P58" s="639">
        <f t="shared" si="3"/>
        <v>1926415.657699127</v>
      </c>
      <c r="Q58" s="640"/>
      <c r="R58" s="640"/>
      <c r="S58" s="641"/>
      <c r="T58" s="388">
        <f>PCS!D58</f>
        <v>796018.93674313382</v>
      </c>
      <c r="U58" s="379">
        <f>Police!U58</f>
        <v>120068.96269066978</v>
      </c>
      <c r="V58" s="431">
        <f t="shared" si="4"/>
        <v>2842503.5571329305</v>
      </c>
      <c r="W58" s="229"/>
      <c r="X58" s="229"/>
      <c r="Y58" s="229"/>
      <c r="Z58" s="99"/>
    </row>
    <row r="59" spans="1:26" x14ac:dyDescent="0.25">
      <c r="A59" s="208">
        <f>Données!A59</f>
        <v>5490</v>
      </c>
      <c r="B59" s="209" t="str">
        <f>Données!B59</f>
        <v>Moiry</v>
      </c>
      <c r="C59" s="387">
        <f>Ressources!H59</f>
        <v>-357099.47503392224</v>
      </c>
      <c r="D59" s="387">
        <f>Ressources!L59</f>
        <v>0</v>
      </c>
      <c r="E59" s="430">
        <f>Ressources!T59</f>
        <v>-40367.961249162981</v>
      </c>
      <c r="F59" s="388">
        <f t="shared" si="0"/>
        <v>-397467.4362830852</v>
      </c>
      <c r="G59" s="387">
        <f>'Besoins structurels'!I59</f>
        <v>-46089</v>
      </c>
      <c r="H59" s="387">
        <f>'Besoins structurels'!N59</f>
        <v>0</v>
      </c>
      <c r="I59" s="387">
        <f>'Besoins structurels'!V59</f>
        <v>-37043</v>
      </c>
      <c r="J59" s="389">
        <f t="shared" si="1"/>
        <v>-83132</v>
      </c>
      <c r="K59" s="387">
        <f>'Charges des villes'!N59</f>
        <v>137830.59987289866</v>
      </c>
      <c r="L59" s="387">
        <f>'Charges des villes'!U59</f>
        <v>30241.764098561718</v>
      </c>
      <c r="M59" s="378">
        <f t="shared" si="2"/>
        <v>168072.36397146038</v>
      </c>
      <c r="N59" s="388">
        <f>-VLOOKUP(A59,Paramètres!$B$23:$C$322,2,FALSE)*$N$5</f>
        <v>0</v>
      </c>
      <c r="O59" s="408"/>
      <c r="P59" s="639">
        <f t="shared" si="3"/>
        <v>-312527.07231162483</v>
      </c>
      <c r="Q59" s="640"/>
      <c r="R59" s="640"/>
      <c r="S59" s="641"/>
      <c r="T59" s="388">
        <f>PCS!D59</f>
        <v>294202.30171346973</v>
      </c>
      <c r="U59" s="379">
        <f>Police!U59</f>
        <v>44376.538744759295</v>
      </c>
      <c r="V59" s="431">
        <f t="shared" si="4"/>
        <v>26051.768146604198</v>
      </c>
      <c r="W59" s="229"/>
      <c r="X59" s="229"/>
      <c r="Y59" s="229"/>
      <c r="Z59" s="99"/>
    </row>
    <row r="60" spans="1:26" x14ac:dyDescent="0.25">
      <c r="A60" s="208">
        <f>Données!A60</f>
        <v>5491</v>
      </c>
      <c r="B60" s="209" t="str">
        <f>Données!B60</f>
        <v>Mont-la-Ville</v>
      </c>
      <c r="C60" s="387">
        <f>Ressources!H60</f>
        <v>-555687.85757954721</v>
      </c>
      <c r="D60" s="387">
        <f>Ressources!L60</f>
        <v>0</v>
      </c>
      <c r="E60" s="430">
        <f>Ressources!T60</f>
        <v>-50303.780295437042</v>
      </c>
      <c r="F60" s="388">
        <f t="shared" si="0"/>
        <v>-605991.6378749843</v>
      </c>
      <c r="G60" s="387">
        <f>'Besoins structurels'!I60</f>
        <v>-169210</v>
      </c>
      <c r="H60" s="387">
        <f>'Besoins structurels'!N60</f>
        <v>-43133</v>
      </c>
      <c r="I60" s="387">
        <f>'Besoins structurels'!V60</f>
        <v>0</v>
      </c>
      <c r="J60" s="389">
        <f t="shared" si="1"/>
        <v>-212343</v>
      </c>
      <c r="K60" s="387">
        <f>'Charges des villes'!N60</f>
        <v>228181.09343506634</v>
      </c>
      <c r="L60" s="387">
        <f>'Charges des villes'!U60</f>
        <v>50065.796751799498</v>
      </c>
      <c r="M60" s="378">
        <f t="shared" si="2"/>
        <v>278246.89018686581</v>
      </c>
      <c r="N60" s="388">
        <f>-VLOOKUP(A60,Paramètres!$B$23:$C$322,2,FALSE)*$N$5</f>
        <v>0</v>
      </c>
      <c r="O60" s="408"/>
      <c r="P60" s="639">
        <f t="shared" si="3"/>
        <v>-540087.74768811848</v>
      </c>
      <c r="Q60" s="640"/>
      <c r="R60" s="640"/>
      <c r="S60" s="641"/>
      <c r="T60" s="388">
        <f>PCS!D60</f>
        <v>487057.32223467395</v>
      </c>
      <c r="U60" s="379">
        <f>Police!U60</f>
        <v>73466.176182795476</v>
      </c>
      <c r="V60" s="431">
        <f t="shared" si="4"/>
        <v>20435.750729350941</v>
      </c>
      <c r="W60" s="229"/>
      <c r="X60" s="229"/>
      <c r="Y60" s="229"/>
      <c r="Z60" s="99"/>
    </row>
    <row r="61" spans="1:26" x14ac:dyDescent="0.25">
      <c r="A61" s="208">
        <f>Données!A61</f>
        <v>5492</v>
      </c>
      <c r="B61" s="209" t="str">
        <f>Données!B61</f>
        <v>Montricher</v>
      </c>
      <c r="C61" s="387">
        <f>Ressources!H61</f>
        <v>8164260.8061753213</v>
      </c>
      <c r="D61" s="387">
        <f>Ressources!L61</f>
        <v>0</v>
      </c>
      <c r="E61" s="430">
        <f>Ressources!T61</f>
        <v>-36023.832401206426</v>
      </c>
      <c r="F61" s="388">
        <f t="shared" si="0"/>
        <v>8128236.9737741146</v>
      </c>
      <c r="G61" s="387">
        <f>'Besoins structurels'!I61</f>
        <v>-195907</v>
      </c>
      <c r="H61" s="387">
        <f>'Besoins structurels'!N61</f>
        <v>-116312</v>
      </c>
      <c r="I61" s="387">
        <f>'Besoins structurels'!V61</f>
        <v>0</v>
      </c>
      <c r="J61" s="389">
        <f t="shared" si="1"/>
        <v>-312219</v>
      </c>
      <c r="K61" s="387">
        <f>'Charges des villes'!N61</f>
        <v>434696.50729144964</v>
      </c>
      <c r="L61" s="387">
        <f>'Charges des villes'!U61</f>
        <v>95377.871387771564</v>
      </c>
      <c r="M61" s="378">
        <f t="shared" si="2"/>
        <v>530074.37867922126</v>
      </c>
      <c r="N61" s="388">
        <f>-VLOOKUP(A61,Paramètres!$B$23:$C$322,2,FALSE)*$N$5</f>
        <v>0</v>
      </c>
      <c r="O61" s="408"/>
      <c r="P61" s="639">
        <f t="shared" si="3"/>
        <v>8346092.3524533361</v>
      </c>
      <c r="Q61" s="640"/>
      <c r="R61" s="640"/>
      <c r="S61" s="641"/>
      <c r="T61" s="388">
        <f>PCS!D61</f>
        <v>927868.79771171219</v>
      </c>
      <c r="U61" s="379">
        <f>Police!U61</f>
        <v>139956.77604116392</v>
      </c>
      <c r="V61" s="431">
        <f t="shared" si="4"/>
        <v>9413917.9262062106</v>
      </c>
      <c r="W61" s="229"/>
      <c r="X61" s="229"/>
      <c r="Y61" s="229"/>
      <c r="Z61" s="99"/>
    </row>
    <row r="62" spans="1:26" x14ac:dyDescent="0.25">
      <c r="A62" s="208">
        <f>Données!A62</f>
        <v>5493</v>
      </c>
      <c r="B62" s="209" t="str">
        <f>Données!B62</f>
        <v>Orny</v>
      </c>
      <c r="C62" s="387">
        <f>Ressources!H62</f>
        <v>-451210.10271315958</v>
      </c>
      <c r="D62" s="387">
        <f>Ressources!L62</f>
        <v>0</v>
      </c>
      <c r="E62" s="430">
        <f>Ressources!T62</f>
        <v>-52360.819367337797</v>
      </c>
      <c r="F62" s="388">
        <f t="shared" si="0"/>
        <v>-503570.92208049737</v>
      </c>
      <c r="G62" s="387">
        <f>'Besoins structurels'!I62</f>
        <v>-16673</v>
      </c>
      <c r="H62" s="387">
        <f>'Besoins structurels'!N62</f>
        <v>0</v>
      </c>
      <c r="I62" s="387">
        <f>'Besoins structurels'!V62</f>
        <v>0</v>
      </c>
      <c r="J62" s="389">
        <f t="shared" si="1"/>
        <v>-16673</v>
      </c>
      <c r="K62" s="387">
        <f>'Charges des villes'!N62</f>
        <v>229103.0372469252</v>
      </c>
      <c r="L62" s="387">
        <f>'Charges des villes'!U62</f>
        <v>50268.082799281518</v>
      </c>
      <c r="M62" s="378">
        <f t="shared" si="2"/>
        <v>279371.12004620675</v>
      </c>
      <c r="N62" s="388">
        <f>-VLOOKUP(A62,Paramètres!$B$23:$C$322,2,FALSE)*$N$5</f>
        <v>0</v>
      </c>
      <c r="O62" s="408"/>
      <c r="P62" s="639">
        <f t="shared" si="3"/>
        <v>-240872.80203429062</v>
      </c>
      <c r="Q62" s="640"/>
      <c r="R62" s="640"/>
      <c r="S62" s="641"/>
      <c r="T62" s="388">
        <f>PCS!D62</f>
        <v>489025.2306073393</v>
      </c>
      <c r="U62" s="379">
        <f>Police!U62</f>
        <v>73763.009217877479</v>
      </c>
      <c r="V62" s="431">
        <f t="shared" si="4"/>
        <v>321915.43779092614</v>
      </c>
      <c r="W62" s="229"/>
      <c r="X62" s="229"/>
      <c r="Y62" s="229"/>
      <c r="Z62" s="99"/>
    </row>
    <row r="63" spans="1:26" x14ac:dyDescent="0.25">
      <c r="A63" s="208">
        <f>Données!A63</f>
        <v>5495</v>
      </c>
      <c r="B63" s="209" t="str">
        <f>Données!B63</f>
        <v>Penthalaz</v>
      </c>
      <c r="C63" s="387">
        <f>Ressources!H63</f>
        <v>-3244224.2429004461</v>
      </c>
      <c r="D63" s="387">
        <f>Ressources!L63</f>
        <v>0</v>
      </c>
      <c r="E63" s="430">
        <f>Ressources!T63</f>
        <v>-329159.03571435047</v>
      </c>
      <c r="F63" s="388">
        <f t="shared" si="0"/>
        <v>-3573383.2786147967</v>
      </c>
      <c r="G63" s="387">
        <f>'Besoins structurels'!I63</f>
        <v>0</v>
      </c>
      <c r="H63" s="387">
        <f>'Besoins structurels'!N63</f>
        <v>0</v>
      </c>
      <c r="I63" s="387">
        <f>'Besoins structurels'!V63</f>
        <v>-68833</v>
      </c>
      <c r="J63" s="389">
        <f t="shared" si="1"/>
        <v>-68833</v>
      </c>
      <c r="K63" s="387">
        <f>'Charges des villes'!N63</f>
        <v>891918.72436627606</v>
      </c>
      <c r="L63" s="387">
        <f>'Charges des villes'!U63</f>
        <v>321331.38642518589</v>
      </c>
      <c r="M63" s="378">
        <f t="shared" si="2"/>
        <v>1213250.110791462</v>
      </c>
      <c r="N63" s="388">
        <f>-VLOOKUP(A63,Paramètres!$B$23:$C$322,2,FALSE)*$N$5</f>
        <v>-179200</v>
      </c>
      <c r="O63" s="408"/>
      <c r="P63" s="639">
        <f t="shared" si="3"/>
        <v>-2608166.1678233347</v>
      </c>
      <c r="Q63" s="640"/>
      <c r="R63" s="640"/>
      <c r="S63" s="641"/>
      <c r="T63" s="388">
        <f>PCS!D63</f>
        <v>3126022.4499789076</v>
      </c>
      <c r="U63" s="379">
        <f>Police!U63</f>
        <v>528389.75004810642</v>
      </c>
      <c r="V63" s="431">
        <f t="shared" si="4"/>
        <v>1046246.0322036793</v>
      </c>
      <c r="W63" s="229"/>
      <c r="X63" s="229"/>
      <c r="Y63" s="229"/>
      <c r="Z63" s="99"/>
    </row>
    <row r="64" spans="1:26" x14ac:dyDescent="0.25">
      <c r="A64" s="208">
        <f>Données!A64</f>
        <v>5496</v>
      </c>
      <c r="B64" s="209" t="str">
        <f>Données!B64</f>
        <v>Penthaz</v>
      </c>
      <c r="C64" s="387">
        <f>Ressources!H64</f>
        <v>-1764650.7899235722</v>
      </c>
      <c r="D64" s="387">
        <f>Ressources!L64</f>
        <v>0</v>
      </c>
      <c r="E64" s="430">
        <f>Ressources!T64</f>
        <v>-326350.20695943537</v>
      </c>
      <c r="F64" s="388">
        <f t="shared" si="0"/>
        <v>-2091000.9968830077</v>
      </c>
      <c r="G64" s="387">
        <f>'Besoins structurels'!I64</f>
        <v>0</v>
      </c>
      <c r="H64" s="387">
        <f>'Besoins structurels'!N64</f>
        <v>0</v>
      </c>
      <c r="I64" s="387">
        <f>'Besoins structurels'!V64</f>
        <v>-207432</v>
      </c>
      <c r="J64" s="389">
        <f t="shared" si="1"/>
        <v>-207432</v>
      </c>
      <c r="K64" s="387">
        <f>'Charges des villes'!N64</f>
        <v>670727.14496240381</v>
      </c>
      <c r="L64" s="387">
        <f>'Charges des villes'!U64</f>
        <v>196824.3242000037</v>
      </c>
      <c r="M64" s="378">
        <f t="shared" si="2"/>
        <v>867551.46916240756</v>
      </c>
      <c r="N64" s="388">
        <f>-VLOOKUP(A64,Paramètres!$B$23:$C$322,2,FALSE)*$N$5</f>
        <v>0</v>
      </c>
      <c r="O64" s="408"/>
      <c r="P64" s="639">
        <f t="shared" si="3"/>
        <v>-1430881.5277206001</v>
      </c>
      <c r="Q64" s="640"/>
      <c r="R64" s="640"/>
      <c r="S64" s="641"/>
      <c r="T64" s="388">
        <f>PCS!D64</f>
        <v>1914774.8466033849</v>
      </c>
      <c r="U64" s="379">
        <f>Police!U64</f>
        <v>312565.82551574026</v>
      </c>
      <c r="V64" s="431">
        <f t="shared" si="4"/>
        <v>796459.14439852512</v>
      </c>
      <c r="W64" s="229"/>
      <c r="X64" s="229"/>
      <c r="Y64" s="229"/>
      <c r="Z64" s="99"/>
    </row>
    <row r="65" spans="1:26" x14ac:dyDescent="0.25">
      <c r="A65" s="208">
        <f>Données!A65</f>
        <v>5497</v>
      </c>
      <c r="B65" s="209" t="str">
        <f>Données!B65</f>
        <v>Pompaples</v>
      </c>
      <c r="C65" s="387">
        <f>Ressources!H65</f>
        <v>-908443.22386091202</v>
      </c>
      <c r="D65" s="387">
        <f>Ressources!L65</f>
        <v>0</v>
      </c>
      <c r="E65" s="430">
        <f>Ressources!T65</f>
        <v>-52950.133433851413</v>
      </c>
      <c r="F65" s="388">
        <f t="shared" si="0"/>
        <v>-961393.35729476344</v>
      </c>
      <c r="G65" s="387">
        <f>'Besoins structurels'!I65</f>
        <v>0</v>
      </c>
      <c r="H65" s="387">
        <f>'Besoins structurels'!N65</f>
        <v>0</v>
      </c>
      <c r="I65" s="387">
        <f>'Besoins structurels'!V65</f>
        <v>0</v>
      </c>
      <c r="J65" s="389">
        <f t="shared" si="1"/>
        <v>0</v>
      </c>
      <c r="K65" s="387">
        <f>'Charges des villes'!N65</f>
        <v>428703.87251436705</v>
      </c>
      <c r="L65" s="387">
        <f>'Charges des villes'!U65</f>
        <v>94063.012079138454</v>
      </c>
      <c r="M65" s="378">
        <f t="shared" si="2"/>
        <v>522766.88459350553</v>
      </c>
      <c r="N65" s="388">
        <f>-VLOOKUP(A65,Paramètres!$B$23:$C$322,2,FALSE)*$N$5</f>
        <v>0</v>
      </c>
      <c r="O65" s="408"/>
      <c r="P65" s="639">
        <f t="shared" si="3"/>
        <v>-438626.47270125791</v>
      </c>
      <c r="Q65" s="640"/>
      <c r="R65" s="640"/>
      <c r="S65" s="641"/>
      <c r="T65" s="388">
        <f>PCS!D65</f>
        <v>915077.39328938746</v>
      </c>
      <c r="U65" s="379">
        <f>Police!U65</f>
        <v>138027.36131313091</v>
      </c>
      <c r="V65" s="431">
        <f t="shared" si="4"/>
        <v>614478.28190126049</v>
      </c>
      <c r="W65" s="229"/>
      <c r="X65" s="229"/>
      <c r="Y65" s="229"/>
      <c r="Z65" s="99"/>
    </row>
    <row r="66" spans="1:26" x14ac:dyDescent="0.25">
      <c r="A66" s="208">
        <f>Données!A66</f>
        <v>5498</v>
      </c>
      <c r="B66" s="209" t="str">
        <f>Données!B66</f>
        <v>La Sarraz</v>
      </c>
      <c r="C66" s="387">
        <f>Ressources!H66</f>
        <v>-2845173.6766320402</v>
      </c>
      <c r="D66" s="387">
        <f>Ressources!L66</f>
        <v>0</v>
      </c>
      <c r="E66" s="430">
        <f>Ressources!T66</f>
        <v>-280487.87511808926</v>
      </c>
      <c r="F66" s="388">
        <f t="shared" si="0"/>
        <v>-3125661.5517501296</v>
      </c>
      <c r="G66" s="387">
        <f>'Besoins structurels'!I66</f>
        <v>0</v>
      </c>
      <c r="H66" s="387">
        <f>'Besoins structurels'!N66</f>
        <v>0</v>
      </c>
      <c r="I66" s="387">
        <f>'Besoins structurels'!V66</f>
        <v>0</v>
      </c>
      <c r="J66" s="389">
        <f t="shared" si="1"/>
        <v>0</v>
      </c>
      <c r="K66" s="387">
        <f>'Charges des villes'!N66</f>
        <v>819728.75239386293</v>
      </c>
      <c r="L66" s="387">
        <f>'Charges des villes'!U66</f>
        <v>264792.43615396181</v>
      </c>
      <c r="M66" s="378">
        <f t="shared" si="2"/>
        <v>1084521.1885478247</v>
      </c>
      <c r="N66" s="388">
        <f>-VLOOKUP(A66,Paramètres!$B$23:$C$322,2,FALSE)*$N$5</f>
        <v>-39500</v>
      </c>
      <c r="O66" s="408"/>
      <c r="P66" s="639">
        <f t="shared" si="3"/>
        <v>-2080640.3632023048</v>
      </c>
      <c r="Q66" s="640"/>
      <c r="R66" s="640"/>
      <c r="S66" s="641"/>
      <c r="T66" s="388">
        <f>PCS!D66</f>
        <v>2575992.0598189421</v>
      </c>
      <c r="U66" s="379">
        <f>Police!U66</f>
        <v>429170.83075783832</v>
      </c>
      <c r="V66" s="431">
        <f t="shared" si="4"/>
        <v>924522.52737447561</v>
      </c>
      <c r="W66" s="229"/>
      <c r="X66" s="229"/>
      <c r="Y66" s="229"/>
      <c r="Z66" s="99"/>
    </row>
    <row r="67" spans="1:26" x14ac:dyDescent="0.25">
      <c r="A67" s="208">
        <f>Données!A67</f>
        <v>5499</v>
      </c>
      <c r="B67" s="209" t="str">
        <f>Données!B67</f>
        <v>Senarclens</v>
      </c>
      <c r="C67" s="387">
        <f>Ressources!H67</f>
        <v>-140261.25430685357</v>
      </c>
      <c r="D67" s="387">
        <f>Ressources!L67</f>
        <v>0</v>
      </c>
      <c r="E67" s="430">
        <f>Ressources!T67</f>
        <v>-31208.19225618137</v>
      </c>
      <c r="F67" s="388">
        <f t="shared" si="0"/>
        <v>-171469.44656303496</v>
      </c>
      <c r="G67" s="387">
        <f>'Besoins structurels'!I67</f>
        <v>-1710</v>
      </c>
      <c r="H67" s="387">
        <f>'Besoins structurels'!N67</f>
        <v>0</v>
      </c>
      <c r="I67" s="387">
        <f>'Besoins structurels'!V67</f>
        <v>-26655</v>
      </c>
      <c r="J67" s="389">
        <f t="shared" si="1"/>
        <v>-28365</v>
      </c>
      <c r="K67" s="387">
        <f>'Charges des villes'!N67</f>
        <v>221266.51484612492</v>
      </c>
      <c r="L67" s="387">
        <f>'Charges des villes'!U67</f>
        <v>48548.651395684363</v>
      </c>
      <c r="M67" s="378">
        <f t="shared" si="2"/>
        <v>269815.16624180926</v>
      </c>
      <c r="N67" s="388">
        <f>-VLOOKUP(A67,Paramètres!$B$23:$C$322,2,FALSE)*$N$5</f>
        <v>0</v>
      </c>
      <c r="O67" s="408"/>
      <c r="P67" s="639">
        <f t="shared" si="3"/>
        <v>69980.719678774301</v>
      </c>
      <c r="Q67" s="640"/>
      <c r="R67" s="640"/>
      <c r="S67" s="641"/>
      <c r="T67" s="388">
        <f>PCS!D67</f>
        <v>472298.00943968387</v>
      </c>
      <c r="U67" s="379">
        <f>Police!U67</f>
        <v>71239.928419680466</v>
      </c>
      <c r="V67" s="431">
        <f t="shared" si="4"/>
        <v>613518.65753813868</v>
      </c>
      <c r="W67" s="229"/>
      <c r="X67" s="229"/>
      <c r="Y67" s="229"/>
      <c r="Z67" s="99"/>
    </row>
    <row r="68" spans="1:26" x14ac:dyDescent="0.25">
      <c r="A68" s="208">
        <f>Données!A68</f>
        <v>5501</v>
      </c>
      <c r="B68" s="209" t="str">
        <f>Données!B68</f>
        <v>Sullens</v>
      </c>
      <c r="C68" s="387">
        <f>Ressources!H68</f>
        <v>-169551.0543995309</v>
      </c>
      <c r="D68" s="387">
        <f>Ressources!L68</f>
        <v>0</v>
      </c>
      <c r="E68" s="430">
        <f>Ressources!T68</f>
        <v>3948.048460787104</v>
      </c>
      <c r="F68" s="388">
        <f t="shared" si="0"/>
        <v>-165603.00593874379</v>
      </c>
      <c r="G68" s="387">
        <f>'Besoins structurels'!I68</f>
        <v>0</v>
      </c>
      <c r="H68" s="387">
        <f>'Besoins structurels'!N68</f>
        <v>0</v>
      </c>
      <c r="I68" s="387">
        <f>'Besoins structurels'!V68</f>
        <v>-57553</v>
      </c>
      <c r="J68" s="389">
        <f t="shared" si="1"/>
        <v>-57553</v>
      </c>
      <c r="K68" s="387">
        <f>'Charges des villes'!N68</f>
        <v>510860.83698906738</v>
      </c>
      <c r="L68" s="387">
        <f>'Charges des villes'!U68</f>
        <v>123900.20408273613</v>
      </c>
      <c r="M68" s="378">
        <f t="shared" si="2"/>
        <v>634761.04107180354</v>
      </c>
      <c r="N68" s="388">
        <f>-VLOOKUP(A68,Paramètres!$B$23:$C$322,2,FALSE)*$N$5</f>
        <v>0</v>
      </c>
      <c r="O68" s="408"/>
      <c r="P68" s="639">
        <f t="shared" si="3"/>
        <v>411605.03513305972</v>
      </c>
      <c r="Q68" s="640"/>
      <c r="R68" s="640"/>
      <c r="S68" s="641"/>
      <c r="T68" s="388">
        <f>PCS!D68</f>
        <v>1205343.8782575266</v>
      </c>
      <c r="U68" s="379">
        <f>Police!U68</f>
        <v>187458.37197473919</v>
      </c>
      <c r="V68" s="431">
        <f t="shared" si="4"/>
        <v>1804407.2853653254</v>
      </c>
      <c r="W68" s="229"/>
      <c r="X68" s="229"/>
      <c r="Y68" s="229"/>
      <c r="Z68" s="99"/>
    </row>
    <row r="69" spans="1:26" x14ac:dyDescent="0.25">
      <c r="A69" s="208">
        <f>Données!A69</f>
        <v>5503</v>
      </c>
      <c r="B69" s="209" t="str">
        <f>Données!B69</f>
        <v>Vufflens-la-Ville</v>
      </c>
      <c r="C69" s="387">
        <f>Ressources!H69</f>
        <v>532995.96938455827</v>
      </c>
      <c r="D69" s="387">
        <f>Ressources!L69</f>
        <v>0</v>
      </c>
      <c r="E69" s="430">
        <f>Ressources!T69</f>
        <v>-23618.440245407051</v>
      </c>
      <c r="F69" s="388">
        <f t="shared" si="0"/>
        <v>509377.52913915121</v>
      </c>
      <c r="G69" s="387">
        <f>'Besoins structurels'!I69</f>
        <v>0</v>
      </c>
      <c r="H69" s="387">
        <f>'Besoins structurels'!N69</f>
        <v>0</v>
      </c>
      <c r="I69" s="387">
        <f>'Besoins structurels'!V69</f>
        <v>0</v>
      </c>
      <c r="J69" s="389">
        <f t="shared" si="1"/>
        <v>0</v>
      </c>
      <c r="K69" s="387">
        <f>'Charges des villes'!N69</f>
        <v>536803.08114008023</v>
      </c>
      <c r="L69" s="387">
        <f>'Charges des villes'!U69</f>
        <v>135733.93786043421</v>
      </c>
      <c r="M69" s="378">
        <f t="shared" si="2"/>
        <v>672537.01900051441</v>
      </c>
      <c r="N69" s="388">
        <f>-VLOOKUP(A69,Paramètres!$B$23:$C$322,2,FALSE)*$N$5</f>
        <v>0</v>
      </c>
      <c r="O69" s="408"/>
      <c r="P69" s="639">
        <f t="shared" si="3"/>
        <v>1181914.5481396657</v>
      </c>
      <c r="Q69" s="640"/>
      <c r="R69" s="640"/>
      <c r="S69" s="641"/>
      <c r="T69" s="388">
        <f>PCS!D69</f>
        <v>1320466.5180584495</v>
      </c>
      <c r="U69" s="379">
        <f>Police!U69</f>
        <v>207760.13628028304</v>
      </c>
      <c r="V69" s="431">
        <f t="shared" si="4"/>
        <v>2710141.2024783981</v>
      </c>
      <c r="W69" s="229"/>
      <c r="X69" s="229"/>
      <c r="Y69" s="229"/>
      <c r="Z69" s="99"/>
    </row>
    <row r="70" spans="1:26" x14ac:dyDescent="0.25">
      <c r="A70" s="208">
        <f>Données!A70</f>
        <v>5511</v>
      </c>
      <c r="B70" s="209" t="str">
        <f>Données!B70</f>
        <v>Assens</v>
      </c>
      <c r="C70" s="387">
        <f>Ressources!H70</f>
        <v>-787457.03456876182</v>
      </c>
      <c r="D70" s="387">
        <f>Ressources!L70</f>
        <v>0</v>
      </c>
      <c r="E70" s="430">
        <f>Ressources!T70</f>
        <v>-29495.136011096532</v>
      </c>
      <c r="F70" s="388">
        <f t="shared" si="0"/>
        <v>-816952.17057985836</v>
      </c>
      <c r="G70" s="387">
        <f>'Besoins structurels'!I70</f>
        <v>0</v>
      </c>
      <c r="H70" s="387">
        <f>'Besoins structurels'!N70</f>
        <v>0</v>
      </c>
      <c r="I70" s="387">
        <f>'Besoins structurels'!V70</f>
        <v>-26923</v>
      </c>
      <c r="J70" s="389">
        <f t="shared" si="1"/>
        <v>-26923</v>
      </c>
      <c r="K70" s="387">
        <f>'Charges des villes'!N70</f>
        <v>618620.92807789054</v>
      </c>
      <c r="L70" s="387">
        <f>'Charges des villes'!U70</f>
        <v>173055.71362086656</v>
      </c>
      <c r="M70" s="378">
        <f t="shared" si="2"/>
        <v>791676.64169875707</v>
      </c>
      <c r="N70" s="388">
        <f>-VLOOKUP(A70,Paramètres!$B$23:$C$322,2,FALSE)*$N$5</f>
        <v>-58900</v>
      </c>
      <c r="O70" s="408"/>
      <c r="P70" s="639">
        <f t="shared" si="3"/>
        <v>-111098.52888110129</v>
      </c>
      <c r="Q70" s="640"/>
      <c r="R70" s="640"/>
      <c r="S70" s="641"/>
      <c r="T70" s="388">
        <f>PCS!D70</f>
        <v>1683545.6128152064</v>
      </c>
      <c r="U70" s="379">
        <f>Police!U70</f>
        <v>271788.77755161369</v>
      </c>
      <c r="V70" s="431">
        <f t="shared" si="4"/>
        <v>1844235.8614857187</v>
      </c>
      <c r="W70" s="229"/>
      <c r="X70" s="229"/>
      <c r="Y70" s="229"/>
      <c r="Z70" s="99"/>
    </row>
    <row r="71" spans="1:26" x14ac:dyDescent="0.25">
      <c r="A71" s="208">
        <f>Données!A71</f>
        <v>5512</v>
      </c>
      <c r="B71" s="209" t="str">
        <f>Données!B71</f>
        <v>Bercher</v>
      </c>
      <c r="C71" s="387">
        <f>Ressources!H71</f>
        <v>-1326137.0055402783</v>
      </c>
      <c r="D71" s="387">
        <f>Ressources!L71</f>
        <v>0</v>
      </c>
      <c r="E71" s="430">
        <f>Ressources!T71</f>
        <v>-91529.546317307861</v>
      </c>
      <c r="F71" s="388">
        <f t="shared" si="0"/>
        <v>-1417666.551857586</v>
      </c>
      <c r="G71" s="387">
        <f>'Besoins structurels'!I71</f>
        <v>0</v>
      </c>
      <c r="H71" s="387">
        <f>'Besoins structurels'!N71</f>
        <v>0</v>
      </c>
      <c r="I71" s="387">
        <f>'Besoins structurels'!V71</f>
        <v>0</v>
      </c>
      <c r="J71" s="389">
        <f t="shared" si="1"/>
        <v>0</v>
      </c>
      <c r="K71" s="387">
        <f>'Charges des villes'!N71</f>
        <v>537246.53830505488</v>
      </c>
      <c r="L71" s="387">
        <f>'Charges des villes'!U71</f>
        <v>135936.22390791622</v>
      </c>
      <c r="M71" s="378">
        <f t="shared" si="2"/>
        <v>673182.76221297111</v>
      </c>
      <c r="N71" s="388">
        <f>-VLOOKUP(A71,Paramètres!$B$23:$C$322,2,FALSE)*$N$5</f>
        <v>-192200</v>
      </c>
      <c r="O71" s="408"/>
      <c r="P71" s="639">
        <f t="shared" si="3"/>
        <v>-936683.78964461491</v>
      </c>
      <c r="Q71" s="640"/>
      <c r="R71" s="640"/>
      <c r="S71" s="641"/>
      <c r="T71" s="388">
        <f>PCS!D71</f>
        <v>1322434.4264311148</v>
      </c>
      <c r="U71" s="379">
        <f>Police!U71</f>
        <v>208107.17498636071</v>
      </c>
      <c r="V71" s="431">
        <f t="shared" si="4"/>
        <v>593857.81177286059</v>
      </c>
      <c r="W71" s="229"/>
      <c r="X71" s="229"/>
      <c r="Y71" s="229"/>
      <c r="Z71" s="99"/>
    </row>
    <row r="72" spans="1:26" x14ac:dyDescent="0.25">
      <c r="A72" s="208">
        <f>Données!A72</f>
        <v>5514</v>
      </c>
      <c r="B72" s="209" t="str">
        <f>Données!B72</f>
        <v>Bottens</v>
      </c>
      <c r="C72" s="387">
        <f>Ressources!H72</f>
        <v>-1131573.4296180403</v>
      </c>
      <c r="D72" s="387">
        <f>Ressources!L72</f>
        <v>0</v>
      </c>
      <c r="E72" s="430">
        <f>Ressources!T72</f>
        <v>-158539.68482061313</v>
      </c>
      <c r="F72" s="388">
        <f t="shared" si="0"/>
        <v>-1290113.1144386535</v>
      </c>
      <c r="G72" s="387">
        <f>'Besoins structurels'!I72</f>
        <v>0</v>
      </c>
      <c r="H72" s="387">
        <f>'Besoins structurels'!N72</f>
        <v>-35554</v>
      </c>
      <c r="I72" s="387">
        <f>'Besoins structurels'!V72</f>
        <v>-121376</v>
      </c>
      <c r="J72" s="389">
        <f t="shared" si="1"/>
        <v>-156930</v>
      </c>
      <c r="K72" s="387">
        <f>'Charges des villes'!N72</f>
        <v>540350.73845987697</v>
      </c>
      <c r="L72" s="387">
        <f>'Charges des villes'!U72</f>
        <v>137352.22624029033</v>
      </c>
      <c r="M72" s="378">
        <f t="shared" si="2"/>
        <v>677702.9647001673</v>
      </c>
      <c r="N72" s="388">
        <f>-VLOOKUP(A72,Paramètres!$B$23:$C$322,2,FALSE)*$N$5</f>
        <v>0</v>
      </c>
      <c r="O72" s="408"/>
      <c r="P72" s="639">
        <f t="shared" si="3"/>
        <v>-769340.14973848616</v>
      </c>
      <c r="Q72" s="640"/>
      <c r="R72" s="640"/>
      <c r="S72" s="641"/>
      <c r="T72" s="388">
        <f>PCS!D72</f>
        <v>1336209.7850397723</v>
      </c>
      <c r="U72" s="379">
        <f>Police!U72</f>
        <v>210536.4459289044</v>
      </c>
      <c r="V72" s="431">
        <f t="shared" si="4"/>
        <v>777406.08123019058</v>
      </c>
      <c r="W72" s="229"/>
      <c r="X72" s="229"/>
      <c r="Y72" s="229"/>
      <c r="Z72" s="99"/>
    </row>
    <row r="73" spans="1:26" x14ac:dyDescent="0.25">
      <c r="A73" s="208">
        <f>Données!A73</f>
        <v>5515</v>
      </c>
      <c r="B73" s="209" t="str">
        <f>Données!B73</f>
        <v>Bretigny-sur-Morrens</v>
      </c>
      <c r="C73" s="387">
        <f>Ressources!H73</f>
        <v>-642162.52358276071</v>
      </c>
      <c r="D73" s="387">
        <f>Ressources!L73</f>
        <v>0</v>
      </c>
      <c r="E73" s="430">
        <f>Ressources!T73</f>
        <v>-132386.69328343932</v>
      </c>
      <c r="F73" s="388">
        <f t="shared" ref="F73:F136" si="5">SUM(C73:E73)</f>
        <v>-774549.21686620009</v>
      </c>
      <c r="G73" s="387">
        <f>'Besoins structurels'!I73</f>
        <v>0</v>
      </c>
      <c r="H73" s="387">
        <f>'Besoins structurels'!N73</f>
        <v>-106</v>
      </c>
      <c r="I73" s="387">
        <f>'Besoins structurels'!V73</f>
        <v>-26974</v>
      </c>
      <c r="J73" s="389">
        <f t="shared" ref="J73:J136" si="6">SUM(G73:I73)</f>
        <v>-27080</v>
      </c>
      <c r="K73" s="387">
        <f>'Charges des villes'!N73</f>
        <v>413952.77152462548</v>
      </c>
      <c r="L73" s="387">
        <f>'Charges des villes'!U73</f>
        <v>90826.435319426164</v>
      </c>
      <c r="M73" s="378">
        <f t="shared" ref="M73:M136" si="7">SUM(K73:L73)</f>
        <v>504779.20684405166</v>
      </c>
      <c r="N73" s="388">
        <f>-VLOOKUP(A73,Paramètres!$B$23:$C$322,2,FALSE)*$N$5</f>
        <v>-6500</v>
      </c>
      <c r="O73" s="408"/>
      <c r="P73" s="639">
        <f t="shared" ref="P73:P136" si="8">F73+J73+M73+N73</f>
        <v>-303350.01002214843</v>
      </c>
      <c r="Q73" s="640"/>
      <c r="R73" s="640"/>
      <c r="S73" s="641"/>
      <c r="T73" s="388">
        <f>PCS!D73</f>
        <v>883590.85932674189</v>
      </c>
      <c r="U73" s="379">
        <f>Police!U73</f>
        <v>133278.03275181889</v>
      </c>
      <c r="V73" s="431">
        <f t="shared" ref="V73:V136" si="9">P73+T73+U73</f>
        <v>713518.88205641229</v>
      </c>
      <c r="W73" s="229"/>
      <c r="X73" s="229"/>
      <c r="Y73" s="229"/>
      <c r="Z73" s="99"/>
    </row>
    <row r="74" spans="1:26" x14ac:dyDescent="0.25">
      <c r="A74" s="208">
        <f>Données!A74</f>
        <v>5516</v>
      </c>
      <c r="B74" s="209" t="str">
        <f>Données!B74</f>
        <v>Cugy</v>
      </c>
      <c r="C74" s="387">
        <f>Ressources!H74</f>
        <v>-1335984.6410647626</v>
      </c>
      <c r="D74" s="387">
        <f>Ressources!L74</f>
        <v>0</v>
      </c>
      <c r="E74" s="430">
        <f>Ressources!T74</f>
        <v>-223383.29030155431</v>
      </c>
      <c r="F74" s="388">
        <f t="shared" si="5"/>
        <v>-1559367.931366317</v>
      </c>
      <c r="G74" s="387">
        <f>'Besoins structurels'!I74</f>
        <v>0</v>
      </c>
      <c r="H74" s="387">
        <f>'Besoins structurels'!N74</f>
        <v>-1095</v>
      </c>
      <c r="I74" s="387">
        <f>'Besoins structurels'!V74</f>
        <v>0</v>
      </c>
      <c r="J74" s="389">
        <f t="shared" si="6"/>
        <v>-1095</v>
      </c>
      <c r="K74" s="387">
        <f>'Charges des villes'!N74</f>
        <v>857866.06858167704</v>
      </c>
      <c r="L74" s="387">
        <f>'Charges des villes'!U74</f>
        <v>282189.03623741533</v>
      </c>
      <c r="M74" s="378">
        <f t="shared" si="7"/>
        <v>1140055.1048190924</v>
      </c>
      <c r="N74" s="388">
        <f>-VLOOKUP(A74,Paramètres!$B$23:$C$322,2,FALSE)*$N$5</f>
        <v>-24100</v>
      </c>
      <c r="O74" s="408"/>
      <c r="P74" s="639">
        <f t="shared" si="8"/>
        <v>-444507.82654722454</v>
      </c>
      <c r="Q74" s="640"/>
      <c r="R74" s="640"/>
      <c r="S74" s="641"/>
      <c r="T74" s="388">
        <f>PCS!D74</f>
        <v>2745232.1798681621</v>
      </c>
      <c r="U74" s="379">
        <f>Police!U74</f>
        <v>459016.15948051825</v>
      </c>
      <c r="V74" s="431">
        <f t="shared" si="9"/>
        <v>2759740.5128014558</v>
      </c>
      <c r="W74" s="229"/>
      <c r="X74" s="229"/>
      <c r="Y74" s="229"/>
      <c r="Z74" s="99"/>
    </row>
    <row r="75" spans="1:26" x14ac:dyDescent="0.25">
      <c r="A75" s="208">
        <f>Données!A75</f>
        <v>5518</v>
      </c>
      <c r="B75" s="209" t="str">
        <f>Données!B75</f>
        <v>Echallens</v>
      </c>
      <c r="C75" s="387">
        <f>Ressources!H75</f>
        <v>-6165709.0116066113</v>
      </c>
      <c r="D75" s="387">
        <f>Ressources!L75</f>
        <v>0</v>
      </c>
      <c r="E75" s="430">
        <f>Ressources!T75</f>
        <v>-698607.11565844016</v>
      </c>
      <c r="F75" s="388">
        <f t="shared" si="5"/>
        <v>-6864316.127265051</v>
      </c>
      <c r="G75" s="387">
        <f>'Besoins structurels'!I75</f>
        <v>0</v>
      </c>
      <c r="H75" s="387">
        <f>'Besoins structurels'!N75</f>
        <v>0</v>
      </c>
      <c r="I75" s="387">
        <f>'Besoins structurels'!V75</f>
        <v>0</v>
      </c>
      <c r="J75" s="389">
        <f t="shared" si="6"/>
        <v>0</v>
      </c>
      <c r="K75" s="387">
        <f>'Charges des villes'!N75</f>
        <v>641358.39399193088</v>
      </c>
      <c r="L75" s="387">
        <f>'Charges des villes'!U75</f>
        <v>679883.40558706305</v>
      </c>
      <c r="M75" s="378">
        <f t="shared" si="7"/>
        <v>1321241.799578994</v>
      </c>
      <c r="N75" s="388">
        <f>-VLOOKUP(A75,Paramètres!$B$23:$C$322,2,FALSE)*$N$5</f>
        <v>-385500</v>
      </c>
      <c r="O75" s="408"/>
      <c r="P75" s="639">
        <f t="shared" si="8"/>
        <v>-5928574.3276860565</v>
      </c>
      <c r="Q75" s="640"/>
      <c r="R75" s="640"/>
      <c r="S75" s="641"/>
      <c r="T75" s="388">
        <f>PCS!D75</f>
        <v>6614140.0405282388</v>
      </c>
      <c r="U75" s="379">
        <f>Police!U75</f>
        <v>1209624.1738543315</v>
      </c>
      <c r="V75" s="431">
        <f t="shared" si="9"/>
        <v>1895189.8866965137</v>
      </c>
      <c r="W75" s="229"/>
      <c r="X75" s="229"/>
      <c r="Y75" s="229"/>
      <c r="Z75" s="99"/>
    </row>
    <row r="76" spans="1:26" x14ac:dyDescent="0.25">
      <c r="A76" s="208">
        <f>Données!A76</f>
        <v>5520</v>
      </c>
      <c r="B76" s="209" t="str">
        <f>Données!B76</f>
        <v>Essertines-sur-Yverdon</v>
      </c>
      <c r="C76" s="387">
        <f>Ressources!H76</f>
        <v>-1142493.4577896213</v>
      </c>
      <c r="D76" s="387">
        <f>Ressources!L76</f>
        <v>0</v>
      </c>
      <c r="E76" s="430">
        <f>Ressources!T76</f>
        <v>-138732.51727103378</v>
      </c>
      <c r="F76" s="388">
        <f t="shared" si="5"/>
        <v>-1281225.975060655</v>
      </c>
      <c r="G76" s="387">
        <f>'Besoins structurels'!I76</f>
        <v>-7902</v>
      </c>
      <c r="H76" s="387">
        <f>'Besoins structurels'!N76</f>
        <v>0</v>
      </c>
      <c r="I76" s="387">
        <f>'Besoins structurels'!V76</f>
        <v>-52469</v>
      </c>
      <c r="J76" s="389">
        <f t="shared" si="6"/>
        <v>-60371</v>
      </c>
      <c r="K76" s="387">
        <f>'Charges des villes'!N76</f>
        <v>493787.7361375459</v>
      </c>
      <c r="L76" s="387">
        <f>'Charges des villes'!U76</f>
        <v>116112.19125467843</v>
      </c>
      <c r="M76" s="378">
        <f t="shared" si="7"/>
        <v>609899.92739222432</v>
      </c>
      <c r="N76" s="388">
        <f>-VLOOKUP(A76,Paramètres!$B$23:$C$322,2,FALSE)*$N$5</f>
        <v>0</v>
      </c>
      <c r="O76" s="408"/>
      <c r="P76" s="639">
        <f t="shared" si="8"/>
        <v>-731697.04766843072</v>
      </c>
      <c r="Q76" s="640"/>
      <c r="R76" s="640"/>
      <c r="S76" s="641"/>
      <c r="T76" s="388">
        <f>PCS!D76</f>
        <v>1129579.4059099106</v>
      </c>
      <c r="U76" s="379">
        <f>Police!U76</f>
        <v>174097.38179074877</v>
      </c>
      <c r="V76" s="431">
        <f t="shared" si="9"/>
        <v>571979.74003222864</v>
      </c>
      <c r="W76" s="229"/>
      <c r="X76" s="229"/>
      <c r="Y76" s="229"/>
      <c r="Z76" s="99"/>
    </row>
    <row r="77" spans="1:26" x14ac:dyDescent="0.25">
      <c r="A77" s="208">
        <f>Données!A77</f>
        <v>5521</v>
      </c>
      <c r="B77" s="209" t="str">
        <f>Données!B77</f>
        <v>Etagnières</v>
      </c>
      <c r="C77" s="387">
        <f>Ressources!H77</f>
        <v>-622338.52052651125</v>
      </c>
      <c r="D77" s="387">
        <f>Ressources!L77</f>
        <v>0</v>
      </c>
      <c r="E77" s="430">
        <f>Ressources!T77</f>
        <v>46909.891755000717</v>
      </c>
      <c r="F77" s="388">
        <f t="shared" si="5"/>
        <v>-575428.62877151056</v>
      </c>
      <c r="G77" s="387">
        <f>'Besoins structurels'!I77</f>
        <v>0</v>
      </c>
      <c r="H77" s="387">
        <f>'Besoins structurels'!N77</f>
        <v>0</v>
      </c>
      <c r="I77" s="387">
        <f>'Besoins structurels'!V77</f>
        <v>0</v>
      </c>
      <c r="J77" s="389">
        <f t="shared" si="6"/>
        <v>0</v>
      </c>
      <c r="K77" s="387">
        <f>'Charges des villes'!N77</f>
        <v>502878.60801952489</v>
      </c>
      <c r="L77" s="387">
        <f>'Charges des villes'!U77</f>
        <v>120259.05522805981</v>
      </c>
      <c r="M77" s="378">
        <f t="shared" si="7"/>
        <v>623137.66324758471</v>
      </c>
      <c r="N77" s="388">
        <f>-VLOOKUP(A77,Paramètres!$B$23:$C$322,2,FALSE)*$N$5</f>
        <v>0</v>
      </c>
      <c r="O77" s="408"/>
      <c r="P77" s="639">
        <f t="shared" si="8"/>
        <v>47709.034476074157</v>
      </c>
      <c r="Q77" s="640"/>
      <c r="R77" s="640"/>
      <c r="S77" s="641"/>
      <c r="T77" s="388">
        <f>PCS!D77</f>
        <v>1169921.5275495502</v>
      </c>
      <c r="U77" s="379">
        <f>Police!U77</f>
        <v>181211.67526534107</v>
      </c>
      <c r="V77" s="431">
        <f t="shared" si="9"/>
        <v>1398842.2372909654</v>
      </c>
      <c r="W77" s="229"/>
      <c r="X77" s="229"/>
      <c r="Y77" s="229"/>
      <c r="Z77" s="99"/>
    </row>
    <row r="78" spans="1:26" x14ac:dyDescent="0.25">
      <c r="A78" s="208">
        <f>Données!A78</f>
        <v>5522</v>
      </c>
      <c r="B78" s="209" t="str">
        <f>Données!B78</f>
        <v>Fey</v>
      </c>
      <c r="C78" s="387">
        <f>Ressources!H78</f>
        <v>-735236.64926348813</v>
      </c>
      <c r="D78" s="387">
        <f>Ressources!L78</f>
        <v>0</v>
      </c>
      <c r="E78" s="430">
        <f>Ressources!T78</f>
        <v>-93321.483864848124</v>
      </c>
      <c r="F78" s="388">
        <f t="shared" si="5"/>
        <v>-828558.13312833628</v>
      </c>
      <c r="G78" s="387">
        <f>'Besoins structurels'!I78</f>
        <v>-13262</v>
      </c>
      <c r="H78" s="387">
        <f>'Besoins structurels'!N78</f>
        <v>0</v>
      </c>
      <c r="I78" s="387">
        <f>'Besoins structurels'!V78</f>
        <v>-118079</v>
      </c>
      <c r="J78" s="389">
        <f t="shared" si="6"/>
        <v>-131341</v>
      </c>
      <c r="K78" s="387">
        <f>'Charges des villes'!N78</f>
        <v>363706.8337783179</v>
      </c>
      <c r="L78" s="387">
        <f>'Charges des villes'!U78</f>
        <v>79801.845731656169</v>
      </c>
      <c r="M78" s="378">
        <f t="shared" si="7"/>
        <v>443508.67950997408</v>
      </c>
      <c r="N78" s="388">
        <f>-VLOOKUP(A78,Paramètres!$B$23:$C$322,2,FALSE)*$N$5</f>
        <v>0</v>
      </c>
      <c r="O78" s="408"/>
      <c r="P78" s="639">
        <f t="shared" si="8"/>
        <v>-516390.4536183622</v>
      </c>
      <c r="Q78" s="640"/>
      <c r="R78" s="640"/>
      <c r="S78" s="641"/>
      <c r="T78" s="388">
        <f>PCS!D78</f>
        <v>776339.85301648034</v>
      </c>
      <c r="U78" s="379">
        <f>Police!U78</f>
        <v>117100.63233984976</v>
      </c>
      <c r="V78" s="431">
        <f t="shared" si="9"/>
        <v>377050.03173796792</v>
      </c>
      <c r="W78" s="229"/>
      <c r="X78" s="229"/>
      <c r="Y78" s="229"/>
      <c r="Z78" s="99"/>
    </row>
    <row r="79" spans="1:26" x14ac:dyDescent="0.25">
      <c r="A79" s="208">
        <f>Données!A79</f>
        <v>5523</v>
      </c>
      <c r="B79" s="209" t="str">
        <f>Données!B79</f>
        <v>Froideville</v>
      </c>
      <c r="C79" s="387">
        <f>Ressources!H79</f>
        <v>-2463868.0457239151</v>
      </c>
      <c r="D79" s="387">
        <f>Ressources!L79</f>
        <v>0</v>
      </c>
      <c r="E79" s="430">
        <f>Ressources!T79</f>
        <v>-472494.887680482</v>
      </c>
      <c r="F79" s="388">
        <f t="shared" si="5"/>
        <v>-2936362.9334043972</v>
      </c>
      <c r="G79" s="387">
        <f>'Besoins structurels'!I79</f>
        <v>0</v>
      </c>
      <c r="H79" s="387">
        <f>'Besoins structurels'!N79</f>
        <v>-52705</v>
      </c>
      <c r="I79" s="387">
        <f>'Besoins structurels'!V79</f>
        <v>-106239</v>
      </c>
      <c r="J79" s="389">
        <f t="shared" si="6"/>
        <v>-158944</v>
      </c>
      <c r="K79" s="387">
        <f>'Charges des villes'!N79</f>
        <v>844784.08221492684</v>
      </c>
      <c r="L79" s="387">
        <f>'Charges des villes'!U79</f>
        <v>276221.59783669584</v>
      </c>
      <c r="M79" s="378">
        <f t="shared" si="7"/>
        <v>1121005.6800516227</v>
      </c>
      <c r="N79" s="388">
        <f>-VLOOKUP(A79,Paramètres!$B$23:$C$322,2,FALSE)*$N$5</f>
        <v>0</v>
      </c>
      <c r="O79" s="408"/>
      <c r="P79" s="639">
        <f t="shared" si="8"/>
        <v>-1974301.2533527745</v>
      </c>
      <c r="Q79" s="640"/>
      <c r="R79" s="640"/>
      <c r="S79" s="641"/>
      <c r="T79" s="388">
        <f>PCS!D79</f>
        <v>2687178.8828745345</v>
      </c>
      <c r="U79" s="379">
        <f>Police!U79</f>
        <v>448778.51765122695</v>
      </c>
      <c r="V79" s="431">
        <f t="shared" si="9"/>
        <v>1161656.147172987</v>
      </c>
      <c r="W79" s="229"/>
      <c r="X79" s="229"/>
      <c r="Y79" s="229"/>
      <c r="Z79" s="99"/>
    </row>
    <row r="80" spans="1:26" x14ac:dyDescent="0.25">
      <c r="A80" s="208">
        <f>Données!A80</f>
        <v>5527</v>
      </c>
      <c r="B80" s="209" t="str">
        <f>Données!B80</f>
        <v>Morrens</v>
      </c>
      <c r="C80" s="387">
        <f>Ressources!H80</f>
        <v>-760475.55156438251</v>
      </c>
      <c r="D80" s="387">
        <f>Ressources!L80</f>
        <v>0</v>
      </c>
      <c r="E80" s="430">
        <f>Ressources!T80</f>
        <v>-100247.1049507857</v>
      </c>
      <c r="F80" s="388">
        <f t="shared" si="5"/>
        <v>-860722.65651516826</v>
      </c>
      <c r="G80" s="387">
        <f>'Besoins structurels'!I80</f>
        <v>0</v>
      </c>
      <c r="H80" s="387">
        <f>'Besoins structurels'!N80</f>
        <v>0</v>
      </c>
      <c r="I80" s="387">
        <f>'Besoins structurels'!V80</f>
        <v>-60626</v>
      </c>
      <c r="J80" s="389">
        <f t="shared" si="6"/>
        <v>-60626</v>
      </c>
      <c r="K80" s="387">
        <f>'Charges des villes'!N80</f>
        <v>494896.37904998241</v>
      </c>
      <c r="L80" s="387">
        <f>'Charges des villes'!U80</f>
        <v>116617.90637338348</v>
      </c>
      <c r="M80" s="378">
        <f t="shared" si="7"/>
        <v>611514.28542336589</v>
      </c>
      <c r="N80" s="388">
        <f>-VLOOKUP(A80,Paramètres!$B$23:$C$322,2,FALSE)*$N$5</f>
        <v>0</v>
      </c>
      <c r="O80" s="408"/>
      <c r="P80" s="639">
        <f t="shared" si="8"/>
        <v>-309834.37109180237</v>
      </c>
      <c r="Q80" s="640"/>
      <c r="R80" s="640"/>
      <c r="S80" s="641"/>
      <c r="T80" s="388">
        <f>PCS!D80</f>
        <v>1134499.176841574</v>
      </c>
      <c r="U80" s="379">
        <f>Police!U80</f>
        <v>174964.97855594294</v>
      </c>
      <c r="V80" s="431">
        <f t="shared" si="9"/>
        <v>999629.78430571454</v>
      </c>
      <c r="W80" s="229"/>
      <c r="X80" s="229"/>
      <c r="Y80" s="229"/>
      <c r="Z80" s="99"/>
    </row>
    <row r="81" spans="1:26" x14ac:dyDescent="0.25">
      <c r="A81" s="208">
        <f>Données!A81</f>
        <v>5529</v>
      </c>
      <c r="B81" s="209" t="str">
        <f>Données!B81</f>
        <v>Oulens-sous-Echallens</v>
      </c>
      <c r="C81" s="387">
        <f>Ressources!H81</f>
        <v>-465354.52059216733</v>
      </c>
      <c r="D81" s="387">
        <f>Ressources!L81</f>
        <v>0</v>
      </c>
      <c r="E81" s="430">
        <f>Ressources!T81</f>
        <v>-48208.448321879361</v>
      </c>
      <c r="F81" s="388">
        <f t="shared" si="5"/>
        <v>-513562.96891404671</v>
      </c>
      <c r="G81" s="387">
        <f>'Besoins structurels'!I81</f>
        <v>-12109</v>
      </c>
      <c r="H81" s="387">
        <f>'Besoins structurels'!N81</f>
        <v>0</v>
      </c>
      <c r="I81" s="387">
        <f>'Besoins structurels'!V81</f>
        <v>-38454</v>
      </c>
      <c r="J81" s="389">
        <f t="shared" si="6"/>
        <v>-50563</v>
      </c>
      <c r="K81" s="387">
        <f>'Charges des villes'!N81</f>
        <v>279809.94689916214</v>
      </c>
      <c r="L81" s="387">
        <f>'Charges des villes'!U81</f>
        <v>61393.815410792515</v>
      </c>
      <c r="M81" s="378">
        <f t="shared" si="7"/>
        <v>341203.76230995468</v>
      </c>
      <c r="N81" s="388">
        <f>-VLOOKUP(A81,Paramètres!$B$23:$C$322,2,FALSE)*$N$5</f>
        <v>0</v>
      </c>
      <c r="O81" s="408"/>
      <c r="P81" s="639">
        <f t="shared" si="8"/>
        <v>-222922.20660409197</v>
      </c>
      <c r="Q81" s="640"/>
      <c r="R81" s="640"/>
      <c r="S81" s="641"/>
      <c r="T81" s="388">
        <f>PCS!D81</f>
        <v>597260.1911039335</v>
      </c>
      <c r="U81" s="379">
        <f>Police!U81</f>
        <v>90088.82614738759</v>
      </c>
      <c r="V81" s="431">
        <f t="shared" si="9"/>
        <v>464426.81064722908</v>
      </c>
      <c r="W81" s="229"/>
      <c r="X81" s="229"/>
      <c r="Y81" s="229"/>
      <c r="Z81" s="99"/>
    </row>
    <row r="82" spans="1:26" x14ac:dyDescent="0.25">
      <c r="A82" s="208">
        <f>Données!A82</f>
        <v>5530</v>
      </c>
      <c r="B82" s="209" t="str">
        <f>Données!B82</f>
        <v>Pailly</v>
      </c>
      <c r="C82" s="387">
        <f>Ressources!H82</f>
        <v>-503161.23759756942</v>
      </c>
      <c r="D82" s="387">
        <f>Ressources!L82</f>
        <v>0</v>
      </c>
      <c r="E82" s="430">
        <f>Ressources!T82</f>
        <v>-59414.652707417648</v>
      </c>
      <c r="F82" s="388">
        <f t="shared" si="5"/>
        <v>-562575.89030498709</v>
      </c>
      <c r="G82" s="387">
        <f>'Besoins structurels'!I82</f>
        <v>-12770</v>
      </c>
      <c r="H82" s="387">
        <f>'Besoins structurels'!N82</f>
        <v>0</v>
      </c>
      <c r="I82" s="387">
        <f>'Besoins structurels'!V82</f>
        <v>-99824</v>
      </c>
      <c r="J82" s="389">
        <f t="shared" si="6"/>
        <v>-112594</v>
      </c>
      <c r="K82" s="387">
        <f>'Charges des villes'!N82</f>
        <v>265519.8178153499</v>
      </c>
      <c r="L82" s="387">
        <f>'Charges des villes'!U82</f>
        <v>58258.381674821234</v>
      </c>
      <c r="M82" s="378">
        <f t="shared" si="7"/>
        <v>323778.19949017116</v>
      </c>
      <c r="N82" s="388">
        <f>-VLOOKUP(A82,Paramètres!$B$23:$C$322,2,FALSE)*$N$5</f>
        <v>-184300</v>
      </c>
      <c r="O82" s="408"/>
      <c r="P82" s="639">
        <f t="shared" si="8"/>
        <v>-535691.69081481593</v>
      </c>
      <c r="Q82" s="640"/>
      <c r="R82" s="640"/>
      <c r="S82" s="641"/>
      <c r="T82" s="388">
        <f>PCS!D82</f>
        <v>566757.61132762057</v>
      </c>
      <c r="U82" s="379">
        <f>Police!U82</f>
        <v>85487.914103616567</v>
      </c>
      <c r="V82" s="431">
        <f t="shared" si="9"/>
        <v>116553.83461642121</v>
      </c>
      <c r="W82" s="229"/>
      <c r="X82" s="229"/>
      <c r="Y82" s="229"/>
      <c r="Z82" s="99"/>
    </row>
    <row r="83" spans="1:26" x14ac:dyDescent="0.25">
      <c r="A83" s="208">
        <f>Données!A83</f>
        <v>5531</v>
      </c>
      <c r="B83" s="209" t="str">
        <f>Données!B83</f>
        <v>Penthéréaz</v>
      </c>
      <c r="C83" s="387">
        <f>Ressources!H83</f>
        <v>-223994.1070899452</v>
      </c>
      <c r="D83" s="387">
        <f>Ressources!L83</f>
        <v>0</v>
      </c>
      <c r="E83" s="430">
        <f>Ressources!T83</f>
        <v>-54008.425458662488</v>
      </c>
      <c r="F83" s="388">
        <f t="shared" si="5"/>
        <v>-278002.53254860768</v>
      </c>
      <c r="G83" s="387">
        <f>'Besoins structurels'!I83</f>
        <v>-24895</v>
      </c>
      <c r="H83" s="387">
        <f>'Besoins structurels'!N83</f>
        <v>0</v>
      </c>
      <c r="I83" s="387">
        <f>'Besoins structurels'!V83</f>
        <v>-29296</v>
      </c>
      <c r="J83" s="389">
        <f t="shared" si="6"/>
        <v>-54191</v>
      </c>
      <c r="K83" s="387">
        <f>'Charges des villes'!N83</f>
        <v>198217.9195496536</v>
      </c>
      <c r="L83" s="387">
        <f>'Charges des villes'!U83</f>
        <v>43491.500208633908</v>
      </c>
      <c r="M83" s="378">
        <f t="shared" si="7"/>
        <v>241709.41975828749</v>
      </c>
      <c r="N83" s="388">
        <f>-VLOOKUP(A83,Paramètres!$B$23:$C$322,2,FALSE)*$N$5</f>
        <v>0</v>
      </c>
      <c r="O83" s="408"/>
      <c r="P83" s="639">
        <f t="shared" si="8"/>
        <v>-90484.112790320185</v>
      </c>
      <c r="Q83" s="640"/>
      <c r="R83" s="640"/>
      <c r="S83" s="641"/>
      <c r="T83" s="388">
        <f>PCS!D83</f>
        <v>423100.30012305011</v>
      </c>
      <c r="U83" s="379">
        <f>Police!U83</f>
        <v>63819.102542630419</v>
      </c>
      <c r="V83" s="431">
        <f t="shared" si="9"/>
        <v>396435.28987536032</v>
      </c>
      <c r="W83" s="229"/>
      <c r="X83" s="229"/>
      <c r="Y83" s="229"/>
      <c r="Z83" s="99"/>
    </row>
    <row r="84" spans="1:26" x14ac:dyDescent="0.25">
      <c r="A84" s="208">
        <f>Données!A84</f>
        <v>5533</v>
      </c>
      <c r="B84" s="209" t="str">
        <f>Données!B84</f>
        <v>Poliez-Pittet</v>
      </c>
      <c r="C84" s="387">
        <f>Ressources!H84</f>
        <v>-780499.7102527594</v>
      </c>
      <c r="D84" s="387">
        <f>Ressources!L84</f>
        <v>0</v>
      </c>
      <c r="E84" s="430">
        <f>Ressources!T84</f>
        <v>-55122.715557821197</v>
      </c>
      <c r="F84" s="388">
        <f t="shared" si="5"/>
        <v>-835622.42581058061</v>
      </c>
      <c r="G84" s="387">
        <f>'Besoins structurels'!I84</f>
        <v>0</v>
      </c>
      <c r="H84" s="387">
        <f>'Besoins structurels'!N84</f>
        <v>-22580</v>
      </c>
      <c r="I84" s="387">
        <f>'Besoins structurels'!V84</f>
        <v>-132234</v>
      </c>
      <c r="J84" s="389">
        <f t="shared" si="6"/>
        <v>-154814</v>
      </c>
      <c r="K84" s="387">
        <f>'Charges des villes'!N84</f>
        <v>391826.12004001293</v>
      </c>
      <c r="L84" s="387">
        <f>'Charges des villes'!U84</f>
        <v>85971.570179857721</v>
      </c>
      <c r="M84" s="378">
        <f t="shared" si="7"/>
        <v>477797.69021987065</v>
      </c>
      <c r="N84" s="388">
        <f>-VLOOKUP(A84,Paramètres!$B$23:$C$322,2,FALSE)*$N$5</f>
        <v>0</v>
      </c>
      <c r="O84" s="408"/>
      <c r="P84" s="639">
        <f t="shared" si="8"/>
        <v>-512638.73559070996</v>
      </c>
      <c r="Q84" s="640"/>
      <c r="R84" s="640"/>
      <c r="S84" s="641"/>
      <c r="T84" s="388">
        <f>PCS!D84</f>
        <v>836361.05838277342</v>
      </c>
      <c r="U84" s="379">
        <f>Police!U84</f>
        <v>126154.03990985084</v>
      </c>
      <c r="V84" s="431">
        <f t="shared" si="9"/>
        <v>449876.36270191427</v>
      </c>
      <c r="W84" s="229"/>
      <c r="X84" s="229"/>
      <c r="Y84" s="229"/>
      <c r="Z84" s="99"/>
    </row>
    <row r="85" spans="1:26" x14ac:dyDescent="0.25">
      <c r="A85" s="208">
        <f>Données!A85</f>
        <v>5534</v>
      </c>
      <c r="B85" s="209" t="str">
        <f>Données!B85</f>
        <v>Rueyres</v>
      </c>
      <c r="C85" s="387">
        <f>Ressources!H85</f>
        <v>163542.64353070071</v>
      </c>
      <c r="D85" s="387">
        <f>Ressources!L85</f>
        <v>0</v>
      </c>
      <c r="E85" s="430">
        <f>Ressources!T85</f>
        <v>-16856.443928914872</v>
      </c>
      <c r="F85" s="388">
        <f t="shared" si="5"/>
        <v>146686.19960178583</v>
      </c>
      <c r="G85" s="387">
        <f>'Besoins structurels'!I85</f>
        <v>0</v>
      </c>
      <c r="H85" s="387">
        <f>'Besoins structurels'!N85</f>
        <v>0</v>
      </c>
      <c r="I85" s="387">
        <f>'Besoins structurels'!V85</f>
        <v>0</v>
      </c>
      <c r="J85" s="389">
        <f t="shared" si="6"/>
        <v>0</v>
      </c>
      <c r="K85" s="387">
        <f>'Charges des villes'!N85</f>
        <v>140135.45940254579</v>
      </c>
      <c r="L85" s="387">
        <f>'Charges des villes'!U85</f>
        <v>30747.479217266762</v>
      </c>
      <c r="M85" s="378">
        <f t="shared" si="7"/>
        <v>170882.93861981254</v>
      </c>
      <c r="N85" s="388">
        <f>-VLOOKUP(A85,Paramètres!$B$23:$C$322,2,FALSE)*$N$5</f>
        <v>0</v>
      </c>
      <c r="O85" s="408"/>
      <c r="P85" s="639">
        <f t="shared" si="8"/>
        <v>317569.13822159835</v>
      </c>
      <c r="Q85" s="640"/>
      <c r="R85" s="640"/>
      <c r="S85" s="641"/>
      <c r="T85" s="388">
        <f>PCS!D85</f>
        <v>299122.07264513313</v>
      </c>
      <c r="U85" s="379">
        <f>Police!U85</f>
        <v>45118.621332464296</v>
      </c>
      <c r="V85" s="431">
        <f t="shared" si="9"/>
        <v>661809.83219919575</v>
      </c>
      <c r="W85" s="229"/>
      <c r="X85" s="229"/>
      <c r="Y85" s="229"/>
      <c r="Z85" s="99"/>
    </row>
    <row r="86" spans="1:26" x14ac:dyDescent="0.25">
      <c r="A86" s="208">
        <f>Données!A86</f>
        <v>5535</v>
      </c>
      <c r="B86" s="209" t="str">
        <f>Données!B86</f>
        <v>Saint-Barthélemy</v>
      </c>
      <c r="C86" s="387">
        <f>Ressources!H86</f>
        <v>-791787.52712485078</v>
      </c>
      <c r="D86" s="387">
        <f>Ressources!L86</f>
        <v>0</v>
      </c>
      <c r="E86" s="430">
        <f>Ressources!T86</f>
        <v>-84923.776590466281</v>
      </c>
      <c r="F86" s="388">
        <f t="shared" si="5"/>
        <v>-876711.30371531704</v>
      </c>
      <c r="G86" s="387">
        <f>'Besoins structurels'!I86</f>
        <v>0</v>
      </c>
      <c r="H86" s="387">
        <f>'Besoins structurels'!N86</f>
        <v>0</v>
      </c>
      <c r="I86" s="387">
        <f>'Besoins structurels'!V86</f>
        <v>-23026</v>
      </c>
      <c r="J86" s="389">
        <f t="shared" si="6"/>
        <v>-23026</v>
      </c>
      <c r="K86" s="387">
        <f>'Charges des villes'!N86</f>
        <v>385833.48526293039</v>
      </c>
      <c r="L86" s="387">
        <f>'Charges des villes'!U86</f>
        <v>84656.710871224612</v>
      </c>
      <c r="M86" s="378">
        <f t="shared" si="7"/>
        <v>470490.19613415503</v>
      </c>
      <c r="N86" s="388">
        <f>-VLOOKUP(A86,Paramètres!$B$23:$C$322,2,FALSE)*$N$5</f>
        <v>0</v>
      </c>
      <c r="O86" s="408"/>
      <c r="P86" s="639">
        <f t="shared" si="8"/>
        <v>-429247.10758116201</v>
      </c>
      <c r="Q86" s="640"/>
      <c r="R86" s="640"/>
      <c r="S86" s="641"/>
      <c r="T86" s="388">
        <f>PCS!D86</f>
        <v>823569.65396044869</v>
      </c>
      <c r="U86" s="379">
        <f>Police!U86</f>
        <v>124224.6251818178</v>
      </c>
      <c r="V86" s="431">
        <f t="shared" si="9"/>
        <v>518547.17156110448</v>
      </c>
      <c r="W86" s="229"/>
      <c r="X86" s="229"/>
      <c r="Y86" s="229"/>
      <c r="Z86" s="99"/>
    </row>
    <row r="87" spans="1:26" x14ac:dyDescent="0.25">
      <c r="A87" s="208">
        <f>Données!A87</f>
        <v>5537</v>
      </c>
      <c r="B87" s="209" t="str">
        <f>Données!B87</f>
        <v>Villars-le-Terroir</v>
      </c>
      <c r="C87" s="387">
        <f>Ressources!H87</f>
        <v>-1481944.4610515055</v>
      </c>
      <c r="D87" s="387">
        <f>Ressources!L87</f>
        <v>0</v>
      </c>
      <c r="E87" s="430">
        <f>Ressources!T87</f>
        <v>-170885.8134871439</v>
      </c>
      <c r="F87" s="388">
        <f t="shared" si="5"/>
        <v>-1652830.2745386495</v>
      </c>
      <c r="G87" s="387">
        <f>'Besoins structurels'!I87</f>
        <v>0</v>
      </c>
      <c r="H87" s="387">
        <f>'Besoins structurels'!N87</f>
        <v>0</v>
      </c>
      <c r="I87" s="387">
        <f>'Besoins structurels'!V87</f>
        <v>-130765</v>
      </c>
      <c r="J87" s="389">
        <f t="shared" si="6"/>
        <v>-130765</v>
      </c>
      <c r="K87" s="387">
        <f>'Charges des villes'!N87</f>
        <v>529042.58075302513</v>
      </c>
      <c r="L87" s="387">
        <f>'Charges des villes'!U87</f>
        <v>132193.93202949889</v>
      </c>
      <c r="M87" s="378">
        <f t="shared" si="7"/>
        <v>661236.51278252399</v>
      </c>
      <c r="N87" s="388">
        <f>-VLOOKUP(A87,Paramètres!$B$23:$C$322,2,FALSE)*$N$5</f>
        <v>0</v>
      </c>
      <c r="O87" s="408"/>
      <c r="P87" s="639">
        <f t="shared" si="8"/>
        <v>-1122358.7617561254</v>
      </c>
      <c r="Q87" s="640"/>
      <c r="R87" s="640"/>
      <c r="S87" s="641"/>
      <c r="T87" s="388">
        <f>PCS!D87</f>
        <v>1286028.1215368058</v>
      </c>
      <c r="U87" s="379">
        <f>Police!U87</f>
        <v>201686.95892392378</v>
      </c>
      <c r="V87" s="431">
        <f t="shared" si="9"/>
        <v>365356.31870460417</v>
      </c>
      <c r="W87" s="229"/>
      <c r="X87" s="229"/>
      <c r="Y87" s="229"/>
      <c r="Z87" s="99"/>
    </row>
    <row r="88" spans="1:26" x14ac:dyDescent="0.25">
      <c r="A88" s="208">
        <f>Données!A88</f>
        <v>5539</v>
      </c>
      <c r="B88" s="209" t="str">
        <f>Données!B88</f>
        <v>Vuarrens</v>
      </c>
      <c r="C88" s="387">
        <f>Ressources!H88</f>
        <v>-1091432.1631529056</v>
      </c>
      <c r="D88" s="387">
        <f>Ressources!L88</f>
        <v>0</v>
      </c>
      <c r="E88" s="430">
        <f>Ressources!T88</f>
        <v>-82036.005264423206</v>
      </c>
      <c r="F88" s="388">
        <f t="shared" si="5"/>
        <v>-1173468.168417329</v>
      </c>
      <c r="G88" s="387">
        <f>'Besoins structurels'!I88</f>
        <v>-2146</v>
      </c>
      <c r="H88" s="387">
        <f>'Besoins structurels'!N88</f>
        <v>0</v>
      </c>
      <c r="I88" s="387">
        <f>'Besoins structurels'!V88</f>
        <v>-210986</v>
      </c>
      <c r="J88" s="389">
        <f t="shared" si="6"/>
        <v>-213132</v>
      </c>
      <c r="K88" s="387">
        <f>'Charges des villes'!N88</f>
        <v>487579.33582790184</v>
      </c>
      <c r="L88" s="387">
        <f>'Charges des villes'!U88</f>
        <v>113280.18658993018</v>
      </c>
      <c r="M88" s="378">
        <f t="shared" si="7"/>
        <v>600859.52241783205</v>
      </c>
      <c r="N88" s="388">
        <f>-VLOOKUP(A88,Paramètres!$B$23:$C$322,2,FALSE)*$N$5</f>
        <v>0</v>
      </c>
      <c r="O88" s="408"/>
      <c r="P88" s="639">
        <f t="shared" si="8"/>
        <v>-785740.64599949692</v>
      </c>
      <c r="Q88" s="640"/>
      <c r="R88" s="640"/>
      <c r="S88" s="641"/>
      <c r="T88" s="388">
        <f>PCS!D88</f>
        <v>1102028.6886925956</v>
      </c>
      <c r="U88" s="379">
        <f>Police!U88</f>
        <v>169238.83990566136</v>
      </c>
      <c r="V88" s="431">
        <f t="shared" si="9"/>
        <v>485526.88259876001</v>
      </c>
      <c r="W88" s="229"/>
      <c r="X88" s="229"/>
      <c r="Y88" s="229"/>
      <c r="Z88" s="99"/>
    </row>
    <row r="89" spans="1:26" x14ac:dyDescent="0.25">
      <c r="A89" s="208">
        <f>Données!A89</f>
        <v>5540</v>
      </c>
      <c r="B89" s="209" t="str">
        <f>Données!B89</f>
        <v>Montilliez</v>
      </c>
      <c r="C89" s="387">
        <f>Ressources!H89</f>
        <v>-1470768.2535394209</v>
      </c>
      <c r="D89" s="387">
        <f>Ressources!L89</f>
        <v>0</v>
      </c>
      <c r="E89" s="430">
        <f>Ressources!T89</f>
        <v>-277543.21537100809</v>
      </c>
      <c r="F89" s="388">
        <f t="shared" si="5"/>
        <v>-1748311.4689104289</v>
      </c>
      <c r="G89" s="387">
        <f>'Besoins structurels'!I89</f>
        <v>0</v>
      </c>
      <c r="H89" s="387">
        <f>'Besoins structurels'!N89</f>
        <v>-7269</v>
      </c>
      <c r="I89" s="387">
        <f>'Besoins structurels'!V89</f>
        <v>0</v>
      </c>
      <c r="J89" s="389">
        <f t="shared" si="6"/>
        <v>-7269</v>
      </c>
      <c r="K89" s="387">
        <f>'Charges des villes'!N89</f>
        <v>654762.68702331884</v>
      </c>
      <c r="L89" s="387">
        <f>'Charges des villes'!U89</f>
        <v>189542.02649065104</v>
      </c>
      <c r="M89" s="378">
        <f t="shared" si="7"/>
        <v>844304.71351396991</v>
      </c>
      <c r="N89" s="388">
        <f>-VLOOKUP(A89,Paramètres!$B$23:$C$322,2,FALSE)*$N$5</f>
        <v>-97100</v>
      </c>
      <c r="O89" s="408"/>
      <c r="P89" s="639">
        <f t="shared" si="8"/>
        <v>-1008375.755396459</v>
      </c>
      <c r="Q89" s="640"/>
      <c r="R89" s="640"/>
      <c r="S89" s="641"/>
      <c r="T89" s="388">
        <f>PCS!D89</f>
        <v>1843930.1451874324</v>
      </c>
      <c r="U89" s="379">
        <f>Police!U89</f>
        <v>300072.43209694402</v>
      </c>
      <c r="V89" s="431">
        <f t="shared" si="9"/>
        <v>1135626.8218879174</v>
      </c>
      <c r="W89" s="229"/>
      <c r="X89" s="229"/>
      <c r="Y89" s="229"/>
      <c r="Z89" s="99"/>
    </row>
    <row r="90" spans="1:26" x14ac:dyDescent="0.25">
      <c r="A90" s="208">
        <f>Données!A90</f>
        <v>5541</v>
      </c>
      <c r="B90" s="209" t="str">
        <f>Données!B90</f>
        <v>Goumoëns</v>
      </c>
      <c r="C90" s="387">
        <f>Ressources!H90</f>
        <v>-997882.89040878986</v>
      </c>
      <c r="D90" s="387">
        <f>Ressources!L90</f>
        <v>0</v>
      </c>
      <c r="E90" s="430">
        <f>Ressources!T90</f>
        <v>-211404.6830359076</v>
      </c>
      <c r="F90" s="388">
        <f t="shared" si="5"/>
        <v>-1209287.5734446975</v>
      </c>
      <c r="G90" s="387">
        <f>'Besoins structurels'!I90</f>
        <v>-12452</v>
      </c>
      <c r="H90" s="387">
        <f>'Besoins structurels'!N90</f>
        <v>0</v>
      </c>
      <c r="I90" s="387">
        <f>'Besoins structurels'!V90</f>
        <v>-297477</v>
      </c>
      <c r="J90" s="389">
        <f t="shared" si="6"/>
        <v>-309929</v>
      </c>
      <c r="K90" s="387">
        <f>'Charges des villes'!N90</f>
        <v>507756.63683424529</v>
      </c>
      <c r="L90" s="387">
        <f>'Charges des villes'!U90</f>
        <v>122484.201750362</v>
      </c>
      <c r="M90" s="378">
        <f t="shared" si="7"/>
        <v>630240.83858460723</v>
      </c>
      <c r="N90" s="388">
        <f>-VLOOKUP(A90,Paramètres!$B$23:$C$322,2,FALSE)*$N$5</f>
        <v>0</v>
      </c>
      <c r="O90" s="408"/>
      <c r="P90" s="639">
        <f t="shared" si="8"/>
        <v>-888975.73486009031</v>
      </c>
      <c r="Q90" s="640"/>
      <c r="R90" s="640"/>
      <c r="S90" s="641"/>
      <c r="T90" s="388">
        <f>PCS!D90</f>
        <v>1191568.5196488691</v>
      </c>
      <c r="U90" s="379">
        <f>Police!U90</f>
        <v>185029.10103219544</v>
      </c>
      <c r="V90" s="431">
        <f t="shared" si="9"/>
        <v>487621.88582097419</v>
      </c>
      <c r="W90" s="229"/>
      <c r="X90" s="229"/>
      <c r="Y90" s="229"/>
      <c r="Z90" s="99"/>
    </row>
    <row r="91" spans="1:26" x14ac:dyDescent="0.25">
      <c r="A91" s="208">
        <f>Données!A91</f>
        <v>5551</v>
      </c>
      <c r="B91" s="209" t="str">
        <f>Données!B91</f>
        <v>Bonvillars</v>
      </c>
      <c r="C91" s="387">
        <f>Ressources!H91</f>
        <v>-353435.82268036227</v>
      </c>
      <c r="D91" s="387">
        <f>Ressources!L91</f>
        <v>0</v>
      </c>
      <c r="E91" s="430">
        <f>Ressources!T91</f>
        <v>-29970.079622295729</v>
      </c>
      <c r="F91" s="388">
        <f t="shared" si="5"/>
        <v>-383405.90230265801</v>
      </c>
      <c r="G91" s="387">
        <f>'Besoins structurels'!I91</f>
        <v>-35769</v>
      </c>
      <c r="H91" s="387">
        <f>'Besoins structurels'!N91</f>
        <v>-1904</v>
      </c>
      <c r="I91" s="387">
        <f>'Besoins structurels'!V91</f>
        <v>0</v>
      </c>
      <c r="J91" s="389">
        <f t="shared" si="6"/>
        <v>-37673</v>
      </c>
      <c r="K91" s="387">
        <f>'Charges des villes'!N91</f>
        <v>238783.44727144318</v>
      </c>
      <c r="L91" s="387">
        <f>'Charges des villes'!U91</f>
        <v>52392.08629784271</v>
      </c>
      <c r="M91" s="378">
        <f t="shared" si="7"/>
        <v>291175.53356928588</v>
      </c>
      <c r="N91" s="388">
        <f>-VLOOKUP(A91,Paramètres!$B$23:$C$322,2,FALSE)*$N$5</f>
        <v>0</v>
      </c>
      <c r="O91" s="408"/>
      <c r="P91" s="639">
        <f t="shared" si="8"/>
        <v>-129903.36873337213</v>
      </c>
      <c r="Q91" s="640"/>
      <c r="R91" s="640"/>
      <c r="S91" s="641"/>
      <c r="T91" s="388">
        <f>PCS!D91</f>
        <v>509688.26852032548</v>
      </c>
      <c r="U91" s="379">
        <f>Police!U91</f>
        <v>76879.7560862385</v>
      </c>
      <c r="V91" s="431">
        <f t="shared" si="9"/>
        <v>456664.65587319183</v>
      </c>
      <c r="W91" s="229"/>
      <c r="X91" s="229"/>
      <c r="Y91" s="229"/>
      <c r="Z91" s="99"/>
    </row>
    <row r="92" spans="1:26" x14ac:dyDescent="0.25">
      <c r="A92" s="208">
        <f>Données!A92</f>
        <v>5552</v>
      </c>
      <c r="B92" s="209" t="str">
        <f>Données!B92</f>
        <v>Bullet</v>
      </c>
      <c r="C92" s="387">
        <f>Ressources!H92</f>
        <v>-729902.65488199133</v>
      </c>
      <c r="D92" s="387">
        <f>Ressources!L92</f>
        <v>0</v>
      </c>
      <c r="E92" s="430">
        <f>Ressources!T92</f>
        <v>-11111.428518157714</v>
      </c>
      <c r="F92" s="388">
        <f t="shared" si="5"/>
        <v>-741014.08340014901</v>
      </c>
      <c r="G92" s="387">
        <f>'Besoins structurels'!I92</f>
        <v>-122099</v>
      </c>
      <c r="H92" s="387">
        <f>'Besoins structurels'!N92</f>
        <v>-67006</v>
      </c>
      <c r="I92" s="387">
        <f>'Besoins structurels'!V92</f>
        <v>0</v>
      </c>
      <c r="J92" s="389">
        <f t="shared" si="6"/>
        <v>-189105</v>
      </c>
      <c r="K92" s="387">
        <f>'Charges des villes'!N92</f>
        <v>314382.83984386921</v>
      </c>
      <c r="L92" s="387">
        <f>'Charges des villes'!U92</f>
        <v>68979.542191368193</v>
      </c>
      <c r="M92" s="378">
        <f t="shared" si="7"/>
        <v>383362.38203523739</v>
      </c>
      <c r="N92" s="388">
        <f>-VLOOKUP(A92,Paramètres!$B$23:$C$322,2,FALSE)*$N$5</f>
        <v>0</v>
      </c>
      <c r="O92" s="408"/>
      <c r="P92" s="639">
        <f t="shared" si="8"/>
        <v>-546756.70136491163</v>
      </c>
      <c r="Q92" s="640"/>
      <c r="R92" s="640"/>
      <c r="S92" s="641"/>
      <c r="T92" s="388">
        <f>PCS!D92</f>
        <v>671056.75507888407</v>
      </c>
      <c r="U92" s="379">
        <f>Police!U92</f>
        <v>101220.06496296267</v>
      </c>
      <c r="V92" s="431">
        <f t="shared" si="9"/>
        <v>225520.11867693512</v>
      </c>
      <c r="W92" s="229"/>
      <c r="X92" s="229"/>
      <c r="Y92" s="229"/>
      <c r="Z92" s="99"/>
    </row>
    <row r="93" spans="1:26" x14ac:dyDescent="0.25">
      <c r="A93" s="208">
        <f>Données!A93</f>
        <v>5553</v>
      </c>
      <c r="B93" s="209" t="str">
        <f>Données!B93</f>
        <v>Champagne</v>
      </c>
      <c r="C93" s="387">
        <f>Ressources!H93</f>
        <v>-799416.09566353355</v>
      </c>
      <c r="D93" s="387">
        <f>Ressources!L93</f>
        <v>0</v>
      </c>
      <c r="E93" s="430">
        <f>Ressources!T93</f>
        <v>-10821.828002854687</v>
      </c>
      <c r="F93" s="388">
        <f t="shared" si="5"/>
        <v>-810237.92366638826</v>
      </c>
      <c r="G93" s="387">
        <f>'Besoins structurels'!I93</f>
        <v>0</v>
      </c>
      <c r="H93" s="387">
        <f>'Besoins structurels'!N93</f>
        <v>0</v>
      </c>
      <c r="I93" s="387">
        <f>'Besoins structurels'!V93</f>
        <v>0</v>
      </c>
      <c r="J93" s="389">
        <f t="shared" si="6"/>
        <v>0</v>
      </c>
      <c r="K93" s="387">
        <f>'Charges des villes'!N93</f>
        <v>476714.63528602454</v>
      </c>
      <c r="L93" s="387">
        <f>'Charges des villes'!U93</f>
        <v>108324.17842662074</v>
      </c>
      <c r="M93" s="378">
        <f t="shared" si="7"/>
        <v>585038.81371264532</v>
      </c>
      <c r="N93" s="388">
        <f>-VLOOKUP(A93,Paramètres!$B$23:$C$322,2,FALSE)*$N$5</f>
        <v>-56900</v>
      </c>
      <c r="O93" s="408"/>
      <c r="P93" s="639">
        <f t="shared" si="8"/>
        <v>-282099.10995374294</v>
      </c>
      <c r="Q93" s="640"/>
      <c r="R93" s="640"/>
      <c r="S93" s="641"/>
      <c r="T93" s="388">
        <f>PCS!D93</f>
        <v>1053814.9335622946</v>
      </c>
      <c r="U93" s="379">
        <f>Police!U93</f>
        <v>160736.39160675835</v>
      </c>
      <c r="V93" s="431">
        <f t="shared" si="9"/>
        <v>932452.21521530999</v>
      </c>
      <c r="W93" s="229"/>
      <c r="X93" s="229"/>
      <c r="Y93" s="229"/>
      <c r="Z93" s="99"/>
    </row>
    <row r="94" spans="1:26" x14ac:dyDescent="0.25">
      <c r="A94" s="208">
        <f>Données!A94</f>
        <v>5554</v>
      </c>
      <c r="B94" s="209" t="str">
        <f>Données!B94</f>
        <v>Concise</v>
      </c>
      <c r="C94" s="387">
        <f>Ressources!H94</f>
        <v>-946019.8429622323</v>
      </c>
      <c r="D94" s="387">
        <f>Ressources!L94</f>
        <v>0</v>
      </c>
      <c r="E94" s="430">
        <f>Ressources!T94</f>
        <v>-74217.739349137322</v>
      </c>
      <c r="F94" s="388">
        <f t="shared" si="5"/>
        <v>-1020237.5823113696</v>
      </c>
      <c r="G94" s="387">
        <f>'Besoins structurels'!I94</f>
        <v>-35662</v>
      </c>
      <c r="H94" s="387">
        <f>'Besoins structurels'!N94</f>
        <v>-147</v>
      </c>
      <c r="I94" s="387">
        <f>'Besoins structurels'!V94</f>
        <v>-8151</v>
      </c>
      <c r="J94" s="389">
        <f t="shared" si="6"/>
        <v>-43960</v>
      </c>
      <c r="K94" s="387">
        <f>'Charges des villes'!N94</f>
        <v>466515.12049160921</v>
      </c>
      <c r="L94" s="387">
        <f>'Charges des villes'!U94</f>
        <v>103671.59933453432</v>
      </c>
      <c r="M94" s="378">
        <f t="shared" si="7"/>
        <v>570186.71982614347</v>
      </c>
      <c r="N94" s="388">
        <f>-VLOOKUP(A94,Paramètres!$B$23:$C$322,2,FALSE)*$N$5</f>
        <v>-24600</v>
      </c>
      <c r="O94" s="408"/>
      <c r="P94" s="639">
        <f t="shared" si="8"/>
        <v>-518610.86248522601</v>
      </c>
      <c r="Q94" s="640"/>
      <c r="R94" s="640"/>
      <c r="S94" s="641"/>
      <c r="T94" s="388">
        <f>PCS!D94</f>
        <v>1008553.0409909915</v>
      </c>
      <c r="U94" s="379">
        <f>Police!U94</f>
        <v>152754.50136697188</v>
      </c>
      <c r="V94" s="431">
        <f t="shared" si="9"/>
        <v>642696.67987273738</v>
      </c>
      <c r="W94" s="229"/>
      <c r="X94" s="229"/>
      <c r="Y94" s="229"/>
      <c r="Z94" s="99"/>
    </row>
    <row r="95" spans="1:26" x14ac:dyDescent="0.25">
      <c r="A95" s="208">
        <f>Données!A95</f>
        <v>5555</v>
      </c>
      <c r="B95" s="209" t="str">
        <f>Données!B95</f>
        <v>Corcelles-près-Concise</v>
      </c>
      <c r="C95" s="387">
        <f>Ressources!H95</f>
        <v>-402441.36768996081</v>
      </c>
      <c r="D95" s="387">
        <f>Ressources!L95</f>
        <v>0</v>
      </c>
      <c r="E95" s="430">
        <f>Ressources!T95</f>
        <v>-14629.966746265491</v>
      </c>
      <c r="F95" s="388">
        <f t="shared" si="5"/>
        <v>-417071.33443622629</v>
      </c>
      <c r="G95" s="387">
        <f>'Besoins structurels'!I95</f>
        <v>-6686</v>
      </c>
      <c r="H95" s="387">
        <f>'Besoins structurels'!N95</f>
        <v>0</v>
      </c>
      <c r="I95" s="387">
        <f>'Besoins structurels'!V95</f>
        <v>-5728</v>
      </c>
      <c r="J95" s="389">
        <f t="shared" si="6"/>
        <v>-12414</v>
      </c>
      <c r="K95" s="387">
        <f>'Charges des villes'!N95</f>
        <v>201905.694797089</v>
      </c>
      <c r="L95" s="387">
        <f>'Charges des villes'!U95</f>
        <v>44300.644398561977</v>
      </c>
      <c r="M95" s="378">
        <f t="shared" si="7"/>
        <v>246206.33919565097</v>
      </c>
      <c r="N95" s="388">
        <f>-VLOOKUP(A95,Paramètres!$B$23:$C$322,2,FALSE)*$N$5</f>
        <v>-68700</v>
      </c>
      <c r="O95" s="408"/>
      <c r="P95" s="639">
        <f t="shared" si="8"/>
        <v>-251978.99524057531</v>
      </c>
      <c r="Q95" s="640"/>
      <c r="R95" s="640"/>
      <c r="S95" s="641"/>
      <c r="T95" s="388">
        <f>PCS!D95</f>
        <v>430971.9336137115</v>
      </c>
      <c r="U95" s="379">
        <f>Police!U95</f>
        <v>65006.434682958425</v>
      </c>
      <c r="V95" s="431">
        <f t="shared" si="9"/>
        <v>243999.37305609463</v>
      </c>
      <c r="W95" s="229"/>
      <c r="X95" s="229"/>
      <c r="Y95" s="229"/>
      <c r="Z95" s="99"/>
    </row>
    <row r="96" spans="1:26" x14ac:dyDescent="0.25">
      <c r="A96" s="208">
        <f>Données!A96</f>
        <v>5556</v>
      </c>
      <c r="B96" s="209" t="str">
        <f>Données!B96</f>
        <v>Fiez</v>
      </c>
      <c r="C96" s="387">
        <f>Ressources!H96</f>
        <v>-460747.02341031877</v>
      </c>
      <c r="D96" s="387">
        <f>Ressources!L96</f>
        <v>0</v>
      </c>
      <c r="E96" s="430">
        <f>Ressources!T96</f>
        <v>-5758.7249946128577</v>
      </c>
      <c r="F96" s="388">
        <f t="shared" si="5"/>
        <v>-466505.74840493163</v>
      </c>
      <c r="G96" s="387">
        <f>'Besoins structurels'!I96</f>
        <v>-36402</v>
      </c>
      <c r="H96" s="387">
        <f>'Besoins structurels'!N96</f>
        <v>0</v>
      </c>
      <c r="I96" s="387">
        <f>'Besoins structurels'!V96</f>
        <v>-31906</v>
      </c>
      <c r="J96" s="389">
        <f t="shared" si="6"/>
        <v>-68308</v>
      </c>
      <c r="K96" s="387">
        <f>'Charges des villes'!N96</f>
        <v>198678.89145558304</v>
      </c>
      <c r="L96" s="387">
        <f>'Charges des villes'!U96</f>
        <v>43592.643232374918</v>
      </c>
      <c r="M96" s="378">
        <f t="shared" si="7"/>
        <v>242271.53468795796</v>
      </c>
      <c r="N96" s="388">
        <f>-VLOOKUP(A96,Paramètres!$B$23:$C$322,2,FALSE)*$N$5</f>
        <v>0</v>
      </c>
      <c r="O96" s="408"/>
      <c r="P96" s="639">
        <f t="shared" si="8"/>
        <v>-292542.21371697367</v>
      </c>
      <c r="Q96" s="640"/>
      <c r="R96" s="640"/>
      <c r="S96" s="641"/>
      <c r="T96" s="388">
        <f>PCS!D96</f>
        <v>424084.25430938281</v>
      </c>
      <c r="U96" s="379">
        <f>Police!U96</f>
        <v>63967.519060171413</v>
      </c>
      <c r="V96" s="431">
        <f t="shared" si="9"/>
        <v>195509.55965258056</v>
      </c>
      <c r="W96" s="229"/>
      <c r="X96" s="229"/>
      <c r="Y96" s="229"/>
      <c r="Z96" s="99"/>
    </row>
    <row r="97" spans="1:26" x14ac:dyDescent="0.25">
      <c r="A97" s="208">
        <f>Données!A97</f>
        <v>5557</v>
      </c>
      <c r="B97" s="209" t="str">
        <f>Données!B97</f>
        <v>Fontaines-sur-Grandson</v>
      </c>
      <c r="C97" s="387">
        <f>Ressources!H97</f>
        <v>-309182.79612223193</v>
      </c>
      <c r="D97" s="387">
        <f>Ressources!L97</f>
        <v>-3807</v>
      </c>
      <c r="E97" s="430">
        <f>Ressources!T97</f>
        <v>-34470.497909083126</v>
      </c>
      <c r="F97" s="388">
        <f t="shared" si="5"/>
        <v>-347460.29403131508</v>
      </c>
      <c r="G97" s="387">
        <f>'Besoins structurels'!I97</f>
        <v>-65729</v>
      </c>
      <c r="H97" s="387">
        <f>'Besoins structurels'!N97</f>
        <v>-261</v>
      </c>
      <c r="I97" s="387">
        <f>'Besoins structurels'!V97</f>
        <v>-1858</v>
      </c>
      <c r="J97" s="389">
        <f t="shared" si="6"/>
        <v>-67848</v>
      </c>
      <c r="K97" s="387">
        <f>'Charges des villes'!N97</f>
        <v>101413.81930447393</v>
      </c>
      <c r="L97" s="387">
        <f>'Charges des villes'!U97</f>
        <v>22251.465223021998</v>
      </c>
      <c r="M97" s="378">
        <f t="shared" si="7"/>
        <v>123665.28452749593</v>
      </c>
      <c r="N97" s="388">
        <f>-VLOOKUP(A97,Paramètres!$B$23:$C$322,2,FALSE)*$N$5</f>
        <v>0</v>
      </c>
      <c r="O97" s="408"/>
      <c r="P97" s="639">
        <f t="shared" si="8"/>
        <v>-291643.00950381916</v>
      </c>
      <c r="Q97" s="640"/>
      <c r="R97" s="640"/>
      <c r="S97" s="641"/>
      <c r="T97" s="388">
        <f>PCS!D97</f>
        <v>216469.92099318843</v>
      </c>
      <c r="U97" s="379">
        <f>Police!U97</f>
        <v>32651.633859020214</v>
      </c>
      <c r="V97" s="431">
        <f t="shared" si="9"/>
        <v>-42521.454651610526</v>
      </c>
      <c r="W97" s="229"/>
      <c r="X97" s="229"/>
      <c r="Y97" s="229"/>
      <c r="Z97" s="99"/>
    </row>
    <row r="98" spans="1:26" x14ac:dyDescent="0.25">
      <c r="A98" s="208">
        <f>Données!A98</f>
        <v>5559</v>
      </c>
      <c r="B98" s="209" t="str">
        <f>Données!B98</f>
        <v>Giez</v>
      </c>
      <c r="C98" s="387">
        <f>Ressources!H98</f>
        <v>17493.290622367895</v>
      </c>
      <c r="D98" s="387">
        <f>Ressources!L98</f>
        <v>0</v>
      </c>
      <c r="E98" s="430">
        <f>Ressources!T98</f>
        <v>-57693.499680975328</v>
      </c>
      <c r="F98" s="388">
        <f t="shared" si="5"/>
        <v>-40200.209058607434</v>
      </c>
      <c r="G98" s="387">
        <f>'Besoins structurels'!I98</f>
        <v>-11757</v>
      </c>
      <c r="H98" s="387">
        <f>'Besoins structurels'!N98</f>
        <v>0</v>
      </c>
      <c r="I98" s="387">
        <f>'Besoins structurels'!V98</f>
        <v>0</v>
      </c>
      <c r="J98" s="389">
        <f t="shared" si="6"/>
        <v>-11757</v>
      </c>
      <c r="K98" s="387">
        <f>'Charges des villes'!N98</f>
        <v>213890.96435125411</v>
      </c>
      <c r="L98" s="387">
        <f>'Charges des villes'!U98</f>
        <v>46930.363015828218</v>
      </c>
      <c r="M98" s="378">
        <f t="shared" si="7"/>
        <v>260821.32736708233</v>
      </c>
      <c r="N98" s="388">
        <f>-VLOOKUP(A98,Paramètres!$B$23:$C$322,2,FALSE)*$N$5</f>
        <v>0</v>
      </c>
      <c r="O98" s="408"/>
      <c r="P98" s="639">
        <f t="shared" si="8"/>
        <v>208864.11830847489</v>
      </c>
      <c r="Q98" s="640"/>
      <c r="R98" s="640"/>
      <c r="S98" s="641"/>
      <c r="T98" s="388">
        <f>PCS!D98</f>
        <v>456554.74245836103</v>
      </c>
      <c r="U98" s="379">
        <f>Police!U98</f>
        <v>68865.264139024453</v>
      </c>
      <c r="V98" s="431">
        <f t="shared" si="9"/>
        <v>734284.1249058604</v>
      </c>
      <c r="W98" s="229"/>
      <c r="X98" s="229"/>
      <c r="Y98" s="229"/>
      <c r="Z98" s="99"/>
    </row>
    <row r="99" spans="1:26" x14ac:dyDescent="0.25">
      <c r="A99" s="208">
        <f>Données!A99</f>
        <v>5560</v>
      </c>
      <c r="B99" s="209" t="str">
        <f>Données!B99</f>
        <v>Grandevent</v>
      </c>
      <c r="C99" s="387">
        <f>Ressources!H99</f>
        <v>-209676.85155885009</v>
      </c>
      <c r="D99" s="387">
        <f>Ressources!L99</f>
        <v>0</v>
      </c>
      <c r="E99" s="430">
        <f>Ressources!T99</f>
        <v>-32713.488164041064</v>
      </c>
      <c r="F99" s="388">
        <f t="shared" si="5"/>
        <v>-242390.33972289116</v>
      </c>
      <c r="G99" s="387">
        <f>'Besoins structurels'!I99</f>
        <v>-16774</v>
      </c>
      <c r="H99" s="387">
        <f>'Besoins structurels'!N99</f>
        <v>0</v>
      </c>
      <c r="I99" s="387">
        <f>'Besoins structurels'!V99</f>
        <v>-94</v>
      </c>
      <c r="J99" s="389">
        <f t="shared" si="6"/>
        <v>-16868</v>
      </c>
      <c r="K99" s="387">
        <f>'Charges des villes'!N99</f>
        <v>111094.22932899189</v>
      </c>
      <c r="L99" s="387">
        <f>'Charges des villes'!U99</f>
        <v>24375.468721583191</v>
      </c>
      <c r="M99" s="378">
        <f t="shared" si="7"/>
        <v>135469.69805057507</v>
      </c>
      <c r="N99" s="388">
        <f>-VLOOKUP(A99,Paramètres!$B$23:$C$322,2,FALSE)*$N$5</f>
        <v>0</v>
      </c>
      <c r="O99" s="408"/>
      <c r="P99" s="639">
        <f t="shared" si="8"/>
        <v>-123788.64167231609</v>
      </c>
      <c r="Q99" s="640"/>
      <c r="R99" s="640"/>
      <c r="S99" s="641"/>
      <c r="T99" s="388">
        <f>PCS!D99</f>
        <v>237132.95890617461</v>
      </c>
      <c r="U99" s="379">
        <f>Police!U99</f>
        <v>35768.380727381234</v>
      </c>
      <c r="V99" s="431">
        <f t="shared" si="9"/>
        <v>149112.69796123976</v>
      </c>
      <c r="W99" s="229"/>
      <c r="X99" s="229"/>
      <c r="Y99" s="229"/>
      <c r="Z99" s="99"/>
    </row>
    <row r="100" spans="1:26" x14ac:dyDescent="0.25">
      <c r="A100" s="208">
        <f>Données!A100</f>
        <v>5561</v>
      </c>
      <c r="B100" s="209" t="str">
        <f>Données!B100</f>
        <v>Grandson</v>
      </c>
      <c r="C100" s="387">
        <f>Ressources!H100</f>
        <v>-2271968.4558680183</v>
      </c>
      <c r="D100" s="387">
        <f>Ressources!L100</f>
        <v>0</v>
      </c>
      <c r="E100" s="430">
        <f>Ressources!T100</f>
        <v>-199041.50908748328</v>
      </c>
      <c r="F100" s="388">
        <f t="shared" si="5"/>
        <v>-2471009.9649555017</v>
      </c>
      <c r="G100" s="387">
        <f>'Besoins structurels'!I100</f>
        <v>0</v>
      </c>
      <c r="H100" s="387">
        <f>'Besoins structurels'!N100</f>
        <v>0</v>
      </c>
      <c r="I100" s="387">
        <f>'Besoins structurels'!V100</f>
        <v>0</v>
      </c>
      <c r="J100" s="389">
        <f t="shared" si="6"/>
        <v>0</v>
      </c>
      <c r="K100" s="387">
        <f>'Charges des villes'!N100</f>
        <v>876439.82102298085</v>
      </c>
      <c r="L100" s="387">
        <f>'Charges des villes'!U100</f>
        <v>343481.70862446685</v>
      </c>
      <c r="M100" s="378">
        <f t="shared" si="7"/>
        <v>1219921.5296474476</v>
      </c>
      <c r="N100" s="388">
        <f>-VLOOKUP(A100,Paramètres!$B$23:$C$322,2,FALSE)*$N$5</f>
        <v>-407600</v>
      </c>
      <c r="O100" s="408"/>
      <c r="P100" s="639">
        <f t="shared" si="8"/>
        <v>-1658688.4353080541</v>
      </c>
      <c r="Q100" s="640"/>
      <c r="R100" s="640"/>
      <c r="S100" s="641"/>
      <c r="T100" s="388">
        <f>PCS!D100</f>
        <v>3341508.4167857631</v>
      </c>
      <c r="U100" s="379">
        <f>Police!U100</f>
        <v>569139.24885062454</v>
      </c>
      <c r="V100" s="431">
        <f t="shared" si="9"/>
        <v>2251959.2303283336</v>
      </c>
      <c r="W100" s="229"/>
      <c r="X100" s="229"/>
      <c r="Y100" s="229"/>
      <c r="Z100" s="99"/>
    </row>
    <row r="101" spans="1:26" x14ac:dyDescent="0.25">
      <c r="A101" s="208">
        <f>Données!A101</f>
        <v>5562</v>
      </c>
      <c r="B101" s="209" t="str">
        <f>Données!B101</f>
        <v>Mauborget</v>
      </c>
      <c r="C101" s="387">
        <f>Ressources!H101</f>
        <v>-141038.47893106911</v>
      </c>
      <c r="D101" s="387">
        <f>Ressources!L101</f>
        <v>0</v>
      </c>
      <c r="E101" s="430">
        <f>Ressources!T101</f>
        <v>-5414.0727128047911</v>
      </c>
      <c r="F101" s="388">
        <f t="shared" si="5"/>
        <v>-146452.55164387391</v>
      </c>
      <c r="G101" s="387">
        <f>'Besoins structurels'!I101</f>
        <v>-46545</v>
      </c>
      <c r="H101" s="387">
        <f>'Besoins structurels'!N101</f>
        <v>-25524</v>
      </c>
      <c r="I101" s="387">
        <f>'Besoins structurels'!V101</f>
        <v>0</v>
      </c>
      <c r="J101" s="389">
        <f t="shared" si="6"/>
        <v>-72069</v>
      </c>
      <c r="K101" s="387">
        <f>'Charges des villes'!N101</f>
        <v>66840.926359766905</v>
      </c>
      <c r="L101" s="387">
        <f>'Charges des villes'!U101</f>
        <v>14665.738442446318</v>
      </c>
      <c r="M101" s="378">
        <f t="shared" si="7"/>
        <v>81506.664802213229</v>
      </c>
      <c r="N101" s="388">
        <f>-VLOOKUP(A101,Paramètres!$B$23:$C$322,2,FALSE)*$N$5</f>
        <v>0</v>
      </c>
      <c r="O101" s="408"/>
      <c r="P101" s="639">
        <f t="shared" si="8"/>
        <v>-137014.88684166069</v>
      </c>
      <c r="Q101" s="640"/>
      <c r="R101" s="640"/>
      <c r="S101" s="641"/>
      <c r="T101" s="388">
        <f>PCS!D101</f>
        <v>142673.35701823782</v>
      </c>
      <c r="U101" s="379">
        <f>Police!U101</f>
        <v>21520.39504344514</v>
      </c>
      <c r="V101" s="431">
        <f t="shared" si="9"/>
        <v>27178.865220022271</v>
      </c>
      <c r="W101" s="229"/>
      <c r="X101" s="229"/>
      <c r="Y101" s="229"/>
      <c r="Z101" s="99"/>
    </row>
    <row r="102" spans="1:26" x14ac:dyDescent="0.25">
      <c r="A102" s="208">
        <f>Données!A102</f>
        <v>5563</v>
      </c>
      <c r="B102" s="209" t="str">
        <f>Données!B102</f>
        <v>Mutrux</v>
      </c>
      <c r="C102" s="387">
        <f>Ressources!H102</f>
        <v>-163822.81042018926</v>
      </c>
      <c r="D102" s="387">
        <f>Ressources!L102</f>
        <v>0</v>
      </c>
      <c r="E102" s="430">
        <f>Ressources!T102</f>
        <v>-8743.2581768544114</v>
      </c>
      <c r="F102" s="388">
        <f t="shared" si="5"/>
        <v>-172566.06859704366</v>
      </c>
      <c r="G102" s="387">
        <f>'Besoins structurels'!I102</f>
        <v>-22066</v>
      </c>
      <c r="H102" s="387">
        <f>'Besoins structurels'!N102</f>
        <v>-20548</v>
      </c>
      <c r="I102" s="387">
        <f>'Besoins structurels'!V102</f>
        <v>-14270</v>
      </c>
      <c r="J102" s="389">
        <f t="shared" si="6"/>
        <v>-56884</v>
      </c>
      <c r="K102" s="387">
        <f>'Charges des villes'!N102</f>
        <v>66379.954453837476</v>
      </c>
      <c r="L102" s="387">
        <f>'Charges des villes'!U102</f>
        <v>14564.595418705308</v>
      </c>
      <c r="M102" s="378">
        <f t="shared" si="7"/>
        <v>80944.54987254279</v>
      </c>
      <c r="N102" s="388">
        <f>-VLOOKUP(A102,Paramètres!$B$23:$C$322,2,FALSE)*$N$5</f>
        <v>0</v>
      </c>
      <c r="O102" s="408"/>
      <c r="P102" s="639">
        <f t="shared" si="8"/>
        <v>-148505.51872450087</v>
      </c>
      <c r="Q102" s="640"/>
      <c r="R102" s="640"/>
      <c r="S102" s="641"/>
      <c r="T102" s="388">
        <f>PCS!D102</f>
        <v>141689.40283190514</v>
      </c>
      <c r="U102" s="379">
        <f>Police!U102</f>
        <v>21371.978525904142</v>
      </c>
      <c r="V102" s="431">
        <f t="shared" si="9"/>
        <v>14555.862633308414</v>
      </c>
      <c r="W102" s="229"/>
      <c r="X102" s="229"/>
      <c r="Y102" s="229"/>
      <c r="Z102" s="99"/>
    </row>
    <row r="103" spans="1:26" x14ac:dyDescent="0.25">
      <c r="A103" s="208">
        <f>Données!A103</f>
        <v>5564</v>
      </c>
      <c r="B103" s="209" t="str">
        <f>Données!B103</f>
        <v>Novalles</v>
      </c>
      <c r="C103" s="387">
        <f>Ressources!H103</f>
        <v>-148859.98352703569</v>
      </c>
      <c r="D103" s="387">
        <f>Ressources!L103</f>
        <v>-1807</v>
      </c>
      <c r="E103" s="430">
        <f>Ressources!T103</f>
        <v>-14377.850810740056</v>
      </c>
      <c r="F103" s="388">
        <f t="shared" si="5"/>
        <v>-165044.83433777574</v>
      </c>
      <c r="G103" s="387">
        <f>'Besoins structurels'!I103</f>
        <v>-12569</v>
      </c>
      <c r="H103" s="387">
        <f>'Besoins structurels'!N103</f>
        <v>0</v>
      </c>
      <c r="I103" s="387">
        <f>'Besoins structurels'!V103</f>
        <v>-26536</v>
      </c>
      <c r="J103" s="389">
        <f t="shared" si="6"/>
        <v>-39105</v>
      </c>
      <c r="K103" s="387">
        <f>'Charges des villes'!N103</f>
        <v>48863.022028519263</v>
      </c>
      <c r="L103" s="387">
        <f>'Charges des villes'!U103</f>
        <v>10721.160516546963</v>
      </c>
      <c r="M103" s="378">
        <f t="shared" si="7"/>
        <v>59584.182545066229</v>
      </c>
      <c r="N103" s="388">
        <f>-VLOOKUP(A103,Paramètres!$B$23:$C$322,2,FALSE)*$N$5</f>
        <v>0</v>
      </c>
      <c r="O103" s="408"/>
      <c r="P103" s="639">
        <f t="shared" si="8"/>
        <v>-144565.65179270951</v>
      </c>
      <c r="Q103" s="640"/>
      <c r="R103" s="640"/>
      <c r="S103" s="641"/>
      <c r="T103" s="388">
        <f>PCS!D103</f>
        <v>104299.14375126352</v>
      </c>
      <c r="U103" s="379">
        <f>Police!U103</f>
        <v>15732.150859346104</v>
      </c>
      <c r="V103" s="431">
        <f t="shared" si="9"/>
        <v>-24534.357182099891</v>
      </c>
      <c r="W103" s="229"/>
      <c r="X103" s="229"/>
      <c r="Y103" s="229"/>
      <c r="Z103" s="99"/>
    </row>
    <row r="104" spans="1:26" x14ac:dyDescent="0.25">
      <c r="A104" s="208">
        <f>Données!A104</f>
        <v>5565</v>
      </c>
      <c r="B104" s="209" t="str">
        <f>Données!B104</f>
        <v>Onnens</v>
      </c>
      <c r="C104" s="387">
        <f>Ressources!H104</f>
        <v>-308295.36382644519</v>
      </c>
      <c r="D104" s="387">
        <f>Ressources!L104</f>
        <v>0</v>
      </c>
      <c r="E104" s="430">
        <f>Ressources!T104</f>
        <v>-22912.903694196502</v>
      </c>
      <c r="F104" s="388">
        <f t="shared" si="5"/>
        <v>-331208.26752064168</v>
      </c>
      <c r="G104" s="387">
        <f>'Besoins structurels'!I104</f>
        <v>-11360</v>
      </c>
      <c r="H104" s="387">
        <f>'Besoins structurels'!N104</f>
        <v>-140</v>
      </c>
      <c r="I104" s="387">
        <f>'Besoins structurels'!V104</f>
        <v>0</v>
      </c>
      <c r="J104" s="389">
        <f t="shared" si="6"/>
        <v>-11500</v>
      </c>
      <c r="K104" s="387">
        <f>'Charges des villes'!N104</f>
        <v>239705.39108330203</v>
      </c>
      <c r="L104" s="387">
        <f>'Charges des villes'!U104</f>
        <v>52594.372345324729</v>
      </c>
      <c r="M104" s="378">
        <f t="shared" si="7"/>
        <v>292299.76342862676</v>
      </c>
      <c r="N104" s="388">
        <f>-VLOOKUP(A104,Paramètres!$B$23:$C$322,2,FALSE)*$N$5</f>
        <v>0</v>
      </c>
      <c r="O104" s="408"/>
      <c r="P104" s="639">
        <f t="shared" si="8"/>
        <v>-50408.504092014919</v>
      </c>
      <c r="Q104" s="640"/>
      <c r="R104" s="640"/>
      <c r="S104" s="641"/>
      <c r="T104" s="388">
        <f>PCS!D104</f>
        <v>511656.17689299083</v>
      </c>
      <c r="U104" s="379">
        <f>Police!U104</f>
        <v>77176.589121320503</v>
      </c>
      <c r="V104" s="431">
        <f t="shared" si="9"/>
        <v>538424.26192229637</v>
      </c>
      <c r="W104" s="229"/>
      <c r="X104" s="229"/>
      <c r="Y104" s="229"/>
      <c r="Z104" s="99"/>
    </row>
    <row r="105" spans="1:26" x14ac:dyDescent="0.25">
      <c r="A105" s="208">
        <f>Données!A105</f>
        <v>5566</v>
      </c>
      <c r="B105" s="209" t="str">
        <f>Données!B105</f>
        <v>Provence</v>
      </c>
      <c r="C105" s="387">
        <f>Ressources!H105</f>
        <v>-475989.71028989484</v>
      </c>
      <c r="D105" s="387">
        <f>Ressources!L105</f>
        <v>0</v>
      </c>
      <c r="E105" s="430">
        <f>Ressources!T105</f>
        <v>1573.2857243947074</v>
      </c>
      <c r="F105" s="388">
        <f t="shared" si="5"/>
        <v>-474416.42456550011</v>
      </c>
      <c r="G105" s="387">
        <f>'Besoins structurels'!I105</f>
        <v>-304315</v>
      </c>
      <c r="H105" s="387">
        <f>'Besoins structurels'!N105</f>
        <v>-23680</v>
      </c>
      <c r="I105" s="387">
        <f>'Besoins structurels'!V105</f>
        <v>0</v>
      </c>
      <c r="J105" s="389">
        <f t="shared" si="6"/>
        <v>-327995</v>
      </c>
      <c r="K105" s="387">
        <f>'Charges des villes'!N105</f>
        <v>189459.45333699448</v>
      </c>
      <c r="L105" s="387">
        <f>'Charges des villes'!U105</f>
        <v>41569.782757554734</v>
      </c>
      <c r="M105" s="378">
        <f t="shared" si="7"/>
        <v>231029.23609454921</v>
      </c>
      <c r="N105" s="388">
        <f>-VLOOKUP(A105,Paramètres!$B$23:$C$322,2,FALSE)*$N$5</f>
        <v>0</v>
      </c>
      <c r="O105" s="408"/>
      <c r="P105" s="639">
        <f t="shared" si="8"/>
        <v>-571382.18847095093</v>
      </c>
      <c r="Q105" s="640"/>
      <c r="R105" s="640"/>
      <c r="S105" s="641"/>
      <c r="T105" s="388">
        <f>PCS!D105</f>
        <v>404405.17058272928</v>
      </c>
      <c r="U105" s="379">
        <f>Police!U105</f>
        <v>60999.188709351394</v>
      </c>
      <c r="V105" s="431">
        <f t="shared" si="9"/>
        <v>-105977.82917887026</v>
      </c>
      <c r="W105" s="229"/>
      <c r="X105" s="229"/>
      <c r="Y105" s="229"/>
      <c r="Z105" s="99"/>
    </row>
    <row r="106" spans="1:26" x14ac:dyDescent="0.25">
      <c r="A106" s="208">
        <f>Données!A106</f>
        <v>5568</v>
      </c>
      <c r="B106" s="209" t="str">
        <f>Données!B106</f>
        <v>Sainte-Croix</v>
      </c>
      <c r="C106" s="387">
        <f>Ressources!H106</f>
        <v>-7497678.3508396233</v>
      </c>
      <c r="D106" s="387">
        <f>Ressources!L106</f>
        <v>-160787</v>
      </c>
      <c r="E106" s="430">
        <f>Ressources!T106</f>
        <v>158497.05557456159</v>
      </c>
      <c r="F106" s="388">
        <f t="shared" si="5"/>
        <v>-7499968.2952650618</v>
      </c>
      <c r="G106" s="387">
        <f>'Besoins structurels'!I106</f>
        <v>0</v>
      </c>
      <c r="H106" s="387">
        <f>'Besoins structurels'!N106</f>
        <v>-886475</v>
      </c>
      <c r="I106" s="387">
        <f>'Besoins structurels'!V106</f>
        <v>0</v>
      </c>
      <c r="J106" s="389">
        <f t="shared" si="6"/>
        <v>-886475</v>
      </c>
      <c r="K106" s="387">
        <f>'Charges des villes'!N106</f>
        <v>753880.83290757425</v>
      </c>
      <c r="L106" s="387">
        <f>'Charges des villes'!U106</f>
        <v>518863.71179137664</v>
      </c>
      <c r="M106" s="378">
        <f t="shared" si="7"/>
        <v>1272744.5446989508</v>
      </c>
      <c r="N106" s="388">
        <f>-VLOOKUP(A106,Paramètres!$B$23:$C$322,2,FALSE)*$N$5</f>
        <v>0</v>
      </c>
      <c r="O106" s="408"/>
      <c r="P106" s="639">
        <f t="shared" si="8"/>
        <v>-7113698.7505661109</v>
      </c>
      <c r="Q106" s="640"/>
      <c r="R106" s="640"/>
      <c r="S106" s="641"/>
      <c r="T106" s="388">
        <f>PCS!D106</f>
        <v>5047684.9758866215</v>
      </c>
      <c r="U106" s="379">
        <f>Police!U106</f>
        <v>893417.64970394969</v>
      </c>
      <c r="V106" s="431">
        <f t="shared" si="9"/>
        <v>-1172596.1249755397</v>
      </c>
      <c r="W106" s="229"/>
      <c r="X106" s="229"/>
      <c r="Y106" s="229"/>
      <c r="Z106" s="99"/>
    </row>
    <row r="107" spans="1:26" x14ac:dyDescent="0.25">
      <c r="A107" s="208">
        <f>Données!A107</f>
        <v>5571</v>
      </c>
      <c r="B107" s="209" t="str">
        <f>Données!B107</f>
        <v>Tévenon</v>
      </c>
      <c r="C107" s="387">
        <f>Ressources!H107</f>
        <v>-880323.83367864601</v>
      </c>
      <c r="D107" s="387">
        <f>Ressources!L107</f>
        <v>0</v>
      </c>
      <c r="E107" s="430">
        <f>Ressources!T107</f>
        <v>-30711.560453275335</v>
      </c>
      <c r="F107" s="388">
        <f t="shared" si="5"/>
        <v>-911035.39413192135</v>
      </c>
      <c r="G107" s="387">
        <f>'Besoins structurels'!I107</f>
        <v>-80650</v>
      </c>
      <c r="H107" s="387">
        <f>'Besoins structurels'!N107</f>
        <v>-85682</v>
      </c>
      <c r="I107" s="387">
        <f>'Besoins structurels'!V107</f>
        <v>-76301</v>
      </c>
      <c r="J107" s="389">
        <f t="shared" si="6"/>
        <v>-242633</v>
      </c>
      <c r="K107" s="387">
        <f>'Charges des villes'!N107</f>
        <v>396896.81100523664</v>
      </c>
      <c r="L107" s="387">
        <f>'Charges des villes'!U107</f>
        <v>87084.143441008826</v>
      </c>
      <c r="M107" s="378">
        <f t="shared" si="7"/>
        <v>483980.95444624545</v>
      </c>
      <c r="N107" s="388">
        <f>-VLOOKUP(A107,Paramètres!$B$23:$C$322,2,FALSE)*$N$5</f>
        <v>0</v>
      </c>
      <c r="O107" s="408"/>
      <c r="P107" s="639">
        <f t="shared" si="8"/>
        <v>-669687.43968567578</v>
      </c>
      <c r="Q107" s="640"/>
      <c r="R107" s="640"/>
      <c r="S107" s="641"/>
      <c r="T107" s="388">
        <f>PCS!D107</f>
        <v>847184.55443243287</v>
      </c>
      <c r="U107" s="379">
        <f>Police!U107</f>
        <v>127786.62160280184</v>
      </c>
      <c r="V107" s="431">
        <f t="shared" si="9"/>
        <v>305283.73634955892</v>
      </c>
      <c r="W107" s="229"/>
      <c r="X107" s="229"/>
      <c r="Y107" s="229"/>
      <c r="Z107" s="99"/>
    </row>
    <row r="108" spans="1:26" x14ac:dyDescent="0.25">
      <c r="A108" s="208">
        <f>Données!A108</f>
        <v>5581</v>
      </c>
      <c r="B108" s="209" t="str">
        <f>Données!B108</f>
        <v>Belmont-sur-Lausanne</v>
      </c>
      <c r="C108" s="387">
        <f>Ressources!H108</f>
        <v>1691974.3285598832</v>
      </c>
      <c r="D108" s="387">
        <f>Ressources!L108</f>
        <v>0</v>
      </c>
      <c r="E108" s="430">
        <f>Ressources!T108</f>
        <v>-146873.34499738202</v>
      </c>
      <c r="F108" s="388">
        <f t="shared" si="5"/>
        <v>1545100.9835625011</v>
      </c>
      <c r="G108" s="387">
        <f>'Besoins structurels'!I108</f>
        <v>0</v>
      </c>
      <c r="H108" s="387">
        <f>'Besoins structurels'!N108</f>
        <v>-41835</v>
      </c>
      <c r="I108" s="387">
        <f>'Besoins structurels'!V108</f>
        <v>0</v>
      </c>
      <c r="J108" s="389">
        <f t="shared" si="6"/>
        <v>-41835</v>
      </c>
      <c r="K108" s="387">
        <f>'Charges des villes'!N108</f>
        <v>839262.18102949532</v>
      </c>
      <c r="L108" s="387">
        <f>'Charges des villes'!U108</f>
        <v>-413109.38888776244</v>
      </c>
      <c r="M108" s="378">
        <f t="shared" si="7"/>
        <v>426152.79214173288</v>
      </c>
      <c r="N108" s="388">
        <f>-VLOOKUP(A108,Paramètres!$B$23:$C$322,2,FALSE)*$N$5</f>
        <v>0</v>
      </c>
      <c r="O108" s="408"/>
      <c r="P108" s="639">
        <f t="shared" si="8"/>
        <v>1929418.7757042339</v>
      </c>
      <c r="Q108" s="640"/>
      <c r="R108" s="640"/>
      <c r="S108" s="641"/>
      <c r="T108" s="388">
        <f>PCS!D108</f>
        <v>3859068.3187967502</v>
      </c>
      <c r="U108" s="379">
        <f>Police!U108</f>
        <v>120922.56356770502</v>
      </c>
      <c r="V108" s="431">
        <f t="shared" si="9"/>
        <v>5909409.6580686895</v>
      </c>
      <c r="W108" s="229"/>
      <c r="X108" s="229"/>
      <c r="Y108" s="229"/>
      <c r="Z108" s="99"/>
    </row>
    <row r="109" spans="1:26" x14ac:dyDescent="0.25">
      <c r="A109" s="208">
        <f>Données!A109</f>
        <v>5582</v>
      </c>
      <c r="B109" s="209" t="str">
        <f>Données!B109</f>
        <v>Cheseaux-sur-Lausanne</v>
      </c>
      <c r="C109" s="387">
        <f>Ressources!H109</f>
        <v>-3190411.9877259582</v>
      </c>
      <c r="D109" s="387">
        <f>Ressources!L109</f>
        <v>0</v>
      </c>
      <c r="E109" s="430">
        <f>Ressources!T109</f>
        <v>-438662.27203908458</v>
      </c>
      <c r="F109" s="388">
        <f t="shared" si="5"/>
        <v>-3629074.2597650429</v>
      </c>
      <c r="G109" s="387">
        <f>'Besoins structurels'!I109</f>
        <v>0</v>
      </c>
      <c r="H109" s="387">
        <f>'Besoins structurels'!N109</f>
        <v>0</v>
      </c>
      <c r="I109" s="387">
        <f>'Besoins structurels'!V109</f>
        <v>0</v>
      </c>
      <c r="J109" s="389">
        <f t="shared" si="6"/>
        <v>0</v>
      </c>
      <c r="K109" s="387">
        <f>'Charges des villes'!N109</f>
        <v>773317.81199162127</v>
      </c>
      <c r="L109" s="387">
        <f>'Charges des villes'!U109</f>
        <v>491049.38026259915</v>
      </c>
      <c r="M109" s="378">
        <f t="shared" si="7"/>
        <v>1264367.1922542204</v>
      </c>
      <c r="N109" s="388">
        <f>-VLOOKUP(A109,Paramètres!$B$23:$C$322,2,FALSE)*$N$5</f>
        <v>0</v>
      </c>
      <c r="O109" s="408"/>
      <c r="P109" s="639">
        <f t="shared" si="8"/>
        <v>-2364707.0675108228</v>
      </c>
      <c r="Q109" s="640"/>
      <c r="R109" s="640"/>
      <c r="S109" s="641"/>
      <c r="T109" s="388">
        <f>PCS!D109</f>
        <v>4777097.5746451356</v>
      </c>
      <c r="U109" s="379">
        <f>Police!U109</f>
        <v>840616.5034299579</v>
      </c>
      <c r="V109" s="431">
        <f t="shared" si="9"/>
        <v>3253007.0105642704</v>
      </c>
      <c r="W109" s="229"/>
      <c r="X109" s="229"/>
      <c r="Y109" s="229"/>
      <c r="Z109" s="99"/>
    </row>
    <row r="110" spans="1:26" x14ac:dyDescent="0.25">
      <c r="A110" s="208">
        <f>Données!A110</f>
        <v>5583</v>
      </c>
      <c r="B110" s="209" t="str">
        <f>Données!B110</f>
        <v>Crissier</v>
      </c>
      <c r="C110" s="387">
        <f>Ressources!H110</f>
        <v>-4177969.8259615777</v>
      </c>
      <c r="D110" s="387">
        <f>Ressources!L110</f>
        <v>0</v>
      </c>
      <c r="E110" s="430">
        <f>Ressources!T110</f>
        <v>1469333.8260499644</v>
      </c>
      <c r="F110" s="388">
        <f t="shared" si="5"/>
        <v>-2708635.9999116133</v>
      </c>
      <c r="G110" s="387">
        <f>'Besoins structurels'!I110</f>
        <v>0</v>
      </c>
      <c r="H110" s="387">
        <f>'Besoins structurels'!N110</f>
        <v>0</v>
      </c>
      <c r="I110" s="387">
        <f>'Besoins structurels'!V110</f>
        <v>0</v>
      </c>
      <c r="J110" s="389">
        <f t="shared" si="6"/>
        <v>0</v>
      </c>
      <c r="K110" s="387">
        <f>'Charges des villes'!N110</f>
        <v>361607.25502954423</v>
      </c>
      <c r="L110" s="387">
        <f>'Charges des villes'!U110</f>
        <v>-1650724.2104745731</v>
      </c>
      <c r="M110" s="378">
        <f t="shared" si="7"/>
        <v>-1289116.9554450288</v>
      </c>
      <c r="N110" s="388">
        <f>-VLOOKUP(A110,Paramètres!$B$23:$C$322,2,FALSE)*$N$5</f>
        <v>0</v>
      </c>
      <c r="O110" s="408"/>
      <c r="P110" s="639">
        <f t="shared" si="8"/>
        <v>-3997752.9553566421</v>
      </c>
      <c r="Q110" s="640"/>
      <c r="R110" s="640"/>
      <c r="S110" s="641"/>
      <c r="T110" s="388">
        <f>PCS!D110</f>
        <v>10508630.710032966</v>
      </c>
      <c r="U110" s="379">
        <f>Police!U110</f>
        <v>329284.28834856953</v>
      </c>
      <c r="V110" s="431">
        <f t="shared" si="9"/>
        <v>6840162.0430248929</v>
      </c>
      <c r="W110" s="229"/>
      <c r="X110" s="229"/>
      <c r="Y110" s="229"/>
      <c r="Z110" s="99"/>
    </row>
    <row r="111" spans="1:26" x14ac:dyDescent="0.25">
      <c r="A111" s="208">
        <f>Données!A111</f>
        <v>5584</v>
      </c>
      <c r="B111" s="209" t="str">
        <f>Données!B111</f>
        <v>Epalinges</v>
      </c>
      <c r="C111" s="387">
        <f>Ressources!H111</f>
        <v>1826098.7393084564</v>
      </c>
      <c r="D111" s="387">
        <f>Ressources!L111</f>
        <v>0</v>
      </c>
      <c r="E111" s="430">
        <f>Ressources!T111</f>
        <v>-393861.48358849296</v>
      </c>
      <c r="F111" s="388">
        <f t="shared" si="5"/>
        <v>1432237.2557199635</v>
      </c>
      <c r="G111" s="387">
        <f>'Besoins structurels'!I111</f>
        <v>0</v>
      </c>
      <c r="H111" s="387">
        <f>'Besoins structurels'!N111</f>
        <v>-671370</v>
      </c>
      <c r="I111" s="387">
        <f>'Besoins structurels'!V111</f>
        <v>0</v>
      </c>
      <c r="J111" s="389">
        <f t="shared" si="6"/>
        <v>-671370</v>
      </c>
      <c r="K111" s="387">
        <f>'Charges des villes'!N111</f>
        <v>416384.19608458411</v>
      </c>
      <c r="L111" s="387">
        <f>'Charges des villes'!U111</f>
        <v>-1358625.2338453047</v>
      </c>
      <c r="M111" s="378">
        <f t="shared" si="7"/>
        <v>-942241.03776072059</v>
      </c>
      <c r="N111" s="388">
        <f>-VLOOKUP(A111,Paramètres!$B$23:$C$322,2,FALSE)*$N$5</f>
        <v>-334500</v>
      </c>
      <c r="O111" s="408"/>
      <c r="P111" s="639">
        <f t="shared" si="8"/>
        <v>-515873.78204075713</v>
      </c>
      <c r="Q111" s="640"/>
      <c r="R111" s="640"/>
      <c r="S111" s="641"/>
      <c r="T111" s="388">
        <f>PCS!D111</f>
        <v>9746066.2156251427</v>
      </c>
      <c r="U111" s="379">
        <f>Police!U111</f>
        <v>1841838.5999665582</v>
      </c>
      <c r="V111" s="431">
        <f t="shared" si="9"/>
        <v>11072031.033550942</v>
      </c>
      <c r="W111" s="229"/>
      <c r="X111" s="229"/>
      <c r="Y111" s="229"/>
      <c r="Z111" s="99"/>
    </row>
    <row r="112" spans="1:26" x14ac:dyDescent="0.25">
      <c r="A112" s="208">
        <f>Données!A112</f>
        <v>5585</v>
      </c>
      <c r="B112" s="209" t="str">
        <f>Données!B112</f>
        <v>Jouxtens-Mézery</v>
      </c>
      <c r="C112" s="387">
        <f>Ressources!H112</f>
        <v>7175253.275844614</v>
      </c>
      <c r="D112" s="387">
        <f>Ressources!L112</f>
        <v>0</v>
      </c>
      <c r="E112" s="430">
        <f>Ressources!T112</f>
        <v>-54168.217278459982</v>
      </c>
      <c r="F112" s="388">
        <f t="shared" si="5"/>
        <v>7121085.058566154</v>
      </c>
      <c r="G112" s="387">
        <f>'Besoins structurels'!I112</f>
        <v>0</v>
      </c>
      <c r="H112" s="387">
        <f>'Besoins structurels'!N112</f>
        <v>0</v>
      </c>
      <c r="I112" s="387">
        <f>'Besoins structurels'!V112</f>
        <v>0</v>
      </c>
      <c r="J112" s="389">
        <f t="shared" si="6"/>
        <v>0</v>
      </c>
      <c r="K112" s="387">
        <f>'Charges des villes'!N112</f>
        <v>567845.08268830099</v>
      </c>
      <c r="L112" s="387">
        <f>'Charges des villes'!U112</f>
        <v>149893.96118417548</v>
      </c>
      <c r="M112" s="378">
        <f t="shared" si="7"/>
        <v>717739.04387247644</v>
      </c>
      <c r="N112" s="388">
        <f>-VLOOKUP(A112,Paramètres!$B$23:$C$322,2,FALSE)*$N$5</f>
        <v>0</v>
      </c>
      <c r="O112" s="408"/>
      <c r="P112" s="639">
        <f t="shared" si="8"/>
        <v>7838824.1024386305</v>
      </c>
      <c r="Q112" s="640"/>
      <c r="R112" s="640"/>
      <c r="S112" s="641"/>
      <c r="T112" s="388">
        <f>PCS!D112</f>
        <v>1458220.104145024</v>
      </c>
      <c r="U112" s="379">
        <f>Police!U112</f>
        <v>232052.84570572013</v>
      </c>
      <c r="V112" s="431">
        <f t="shared" si="9"/>
        <v>9529097.0522893742</v>
      </c>
      <c r="W112" s="229"/>
      <c r="X112" s="229"/>
      <c r="Y112" s="229"/>
      <c r="Z112" s="99"/>
    </row>
    <row r="113" spans="1:26" x14ac:dyDescent="0.25">
      <c r="A113" s="208">
        <f>Données!A113</f>
        <v>5586</v>
      </c>
      <c r="B113" s="209" t="str">
        <f>Données!B113</f>
        <v>Lausanne</v>
      </c>
      <c r="C113" s="387">
        <f>Ressources!H113</f>
        <v>-1337827.2081574323</v>
      </c>
      <c r="D113" s="387">
        <f>Ressources!L113</f>
        <v>0</v>
      </c>
      <c r="E113" s="430">
        <f>Ressources!T113</f>
        <v>-3878262.0706349537</v>
      </c>
      <c r="F113" s="388">
        <f t="shared" si="5"/>
        <v>-5216089.2787923859</v>
      </c>
      <c r="G113" s="387">
        <f>'Besoins structurels'!I113</f>
        <v>0</v>
      </c>
      <c r="H113" s="387">
        <f>'Besoins structurels'!N113</f>
        <v>-247776</v>
      </c>
      <c r="I113" s="387">
        <f>'Besoins structurels'!V113</f>
        <v>0</v>
      </c>
      <c r="J113" s="389">
        <f t="shared" si="6"/>
        <v>-247776</v>
      </c>
      <c r="K113" s="387">
        <f>'Charges des villes'!N113</f>
        <v>-80529648.119871974</v>
      </c>
      <c r="L113" s="387">
        <f>'Charges des villes'!U113</f>
        <v>-20087840.057122726</v>
      </c>
      <c r="M113" s="378">
        <f t="shared" si="7"/>
        <v>-100617488.1769947</v>
      </c>
      <c r="N113" s="388">
        <f>-VLOOKUP(A113,Paramètres!$B$23:$C$322,2,FALSE)*$N$5</f>
        <v>0</v>
      </c>
      <c r="O113" s="408"/>
      <c r="P113" s="639">
        <f t="shared" si="8"/>
        <v>-106081353.45578708</v>
      </c>
      <c r="Q113" s="640"/>
      <c r="R113" s="640"/>
      <c r="S113" s="641"/>
      <c r="T113" s="388">
        <f>PCS!D113</f>
        <v>142709763.32313213</v>
      </c>
      <c r="U113" s="379">
        <f>Police!U113</f>
        <v>4471760.7986153066</v>
      </c>
      <c r="V113" s="431">
        <f t="shared" si="9"/>
        <v>41100170.665960357</v>
      </c>
      <c r="W113" s="229"/>
      <c r="X113" s="229"/>
      <c r="Y113" s="229"/>
      <c r="Z113" s="99"/>
    </row>
    <row r="114" spans="1:26" x14ac:dyDescent="0.25">
      <c r="A114" s="208">
        <f>Données!A114</f>
        <v>5587</v>
      </c>
      <c r="B114" s="209" t="str">
        <f>Données!B114</f>
        <v>Le Mont-sur-Lausanne</v>
      </c>
      <c r="C114" s="387">
        <f>Ressources!H114</f>
        <v>2422447.0068293479</v>
      </c>
      <c r="D114" s="387">
        <f>Ressources!L114</f>
        <v>0</v>
      </c>
      <c r="E114" s="430">
        <f>Ressources!T114</f>
        <v>648380.09342554421</v>
      </c>
      <c r="F114" s="388">
        <f t="shared" si="5"/>
        <v>3070827.1002548924</v>
      </c>
      <c r="G114" s="387">
        <f>'Besoins structurels'!I114</f>
        <v>0</v>
      </c>
      <c r="H114" s="387">
        <f>'Besoins structurels'!N114</f>
        <v>-30522</v>
      </c>
      <c r="I114" s="387">
        <f>'Besoins structurels'!V114</f>
        <v>0</v>
      </c>
      <c r="J114" s="389">
        <f t="shared" si="6"/>
        <v>-30522</v>
      </c>
      <c r="K114" s="387">
        <f>'Charges des villes'!N114</f>
        <v>441970.32855158299</v>
      </c>
      <c r="L114" s="387">
        <f>'Charges des villes'!U114</f>
        <v>-808439.61443954974</v>
      </c>
      <c r="M114" s="378">
        <f t="shared" si="7"/>
        <v>-366469.28588796675</v>
      </c>
      <c r="N114" s="388">
        <f>-VLOOKUP(A114,Paramètres!$B$23:$C$322,2,FALSE)*$N$5</f>
        <v>-582300</v>
      </c>
      <c r="O114" s="408"/>
      <c r="P114" s="639">
        <f t="shared" si="8"/>
        <v>2091535.8143669255</v>
      </c>
      <c r="Q114" s="640"/>
      <c r="R114" s="640"/>
      <c r="S114" s="641"/>
      <c r="T114" s="388">
        <f>PCS!D114</f>
        <v>9389874.8001727145</v>
      </c>
      <c r="U114" s="379">
        <f>Police!U114</f>
        <v>1769937.3677162831</v>
      </c>
      <c r="V114" s="431">
        <f t="shared" si="9"/>
        <v>13251347.982255923</v>
      </c>
      <c r="W114" s="229"/>
      <c r="X114" s="229"/>
      <c r="Y114" s="229"/>
      <c r="Z114" s="99"/>
    </row>
    <row r="115" spans="1:26" x14ac:dyDescent="0.25">
      <c r="A115" s="208">
        <f>Données!A115</f>
        <v>5588</v>
      </c>
      <c r="B115" s="209" t="str">
        <f>Données!B115</f>
        <v>Paudex</v>
      </c>
      <c r="C115" s="387">
        <f>Ressources!H115</f>
        <v>3511215.882943836</v>
      </c>
      <c r="D115" s="387">
        <f>Ressources!L115</f>
        <v>0</v>
      </c>
      <c r="E115" s="430">
        <f>Ressources!T115</f>
        <v>190605.69164302864</v>
      </c>
      <c r="F115" s="388">
        <f t="shared" si="5"/>
        <v>3701821.5745868646</v>
      </c>
      <c r="G115" s="387">
        <f>'Besoins structurels'!I115</f>
        <v>0</v>
      </c>
      <c r="H115" s="387">
        <f>'Besoins structurels'!N115</f>
        <v>0</v>
      </c>
      <c r="I115" s="387">
        <f>'Besoins structurels'!V115</f>
        <v>0</v>
      </c>
      <c r="J115" s="389">
        <f t="shared" si="6"/>
        <v>0</v>
      </c>
      <c r="K115" s="387">
        <f>'Charges des villes'!N115</f>
        <v>574496.94016291969</v>
      </c>
      <c r="L115" s="387">
        <f>'Charges des villes'!U115</f>
        <v>-149099.68810359421</v>
      </c>
      <c r="M115" s="378">
        <f t="shared" si="7"/>
        <v>425397.25205932546</v>
      </c>
      <c r="N115" s="388">
        <f>-VLOOKUP(A115,Paramètres!$B$23:$C$322,2,FALSE)*$N$5</f>
        <v>0</v>
      </c>
      <c r="O115" s="408"/>
      <c r="P115" s="639">
        <f t="shared" si="8"/>
        <v>4127218.8266461901</v>
      </c>
      <c r="Q115" s="640"/>
      <c r="R115" s="640"/>
      <c r="S115" s="641"/>
      <c r="T115" s="388">
        <f>PCS!D115</f>
        <v>1487738.729735004</v>
      </c>
      <c r="U115" s="379">
        <f>Police!U115</f>
        <v>46617.775653842422</v>
      </c>
      <c r="V115" s="431">
        <f t="shared" si="9"/>
        <v>5661575.3320350368</v>
      </c>
      <c r="W115" s="229"/>
      <c r="X115" s="229"/>
      <c r="Y115" s="229"/>
      <c r="Z115" s="99"/>
    </row>
    <row r="116" spans="1:26" x14ac:dyDescent="0.25">
      <c r="A116" s="208">
        <f>Données!A116</f>
        <v>5589</v>
      </c>
      <c r="B116" s="209" t="str">
        <f>Données!B116</f>
        <v>Prilly</v>
      </c>
      <c r="C116" s="387">
        <f>Ressources!H116</f>
        <v>-9989827.7737834994</v>
      </c>
      <c r="D116" s="387">
        <f>Ressources!L116</f>
        <v>0</v>
      </c>
      <c r="E116" s="430">
        <f>Ressources!T116</f>
        <v>259592.22405747604</v>
      </c>
      <c r="F116" s="388">
        <f t="shared" si="5"/>
        <v>-9730235.5497260243</v>
      </c>
      <c r="G116" s="387">
        <f>'Besoins structurels'!I116</f>
        <v>0</v>
      </c>
      <c r="H116" s="387">
        <f>'Besoins structurels'!N116</f>
        <v>0</v>
      </c>
      <c r="I116" s="387">
        <f>'Besoins structurels'!V116</f>
        <v>0</v>
      </c>
      <c r="J116" s="389">
        <f t="shared" si="6"/>
        <v>0</v>
      </c>
      <c r="K116" s="387">
        <f>'Charges des villes'!N116</f>
        <v>-91265.042574569583</v>
      </c>
      <c r="L116" s="387">
        <f>'Charges des villes'!U116</f>
        <v>-903541.81844996731</v>
      </c>
      <c r="M116" s="378">
        <f t="shared" si="7"/>
        <v>-994806.86102453689</v>
      </c>
      <c r="N116" s="388">
        <f>-VLOOKUP(A116,Paramètres!$B$23:$C$322,2,FALSE)*$N$5</f>
        <v>-14300</v>
      </c>
      <c r="O116" s="408"/>
      <c r="P116" s="639">
        <f t="shared" si="8"/>
        <v>-10739342.41075056</v>
      </c>
      <c r="Q116" s="640"/>
      <c r="R116" s="640"/>
      <c r="S116" s="641"/>
      <c r="T116" s="388">
        <f>PCS!D116</f>
        <v>12561159.142722925</v>
      </c>
      <c r="U116" s="379">
        <f>Police!U116</f>
        <v>393599.55290803732</v>
      </c>
      <c r="V116" s="431">
        <f t="shared" si="9"/>
        <v>2215416.284880402</v>
      </c>
      <c r="W116" s="229"/>
      <c r="X116" s="229"/>
      <c r="Y116" s="229"/>
      <c r="Z116" s="99"/>
    </row>
    <row r="117" spans="1:26" x14ac:dyDescent="0.25">
      <c r="A117" s="208">
        <f>Données!A117</f>
        <v>5590</v>
      </c>
      <c r="B117" s="209" t="str">
        <f>Données!B117</f>
        <v>Pully</v>
      </c>
      <c r="C117" s="387">
        <f>Ressources!H117</f>
        <v>37343585.200010806</v>
      </c>
      <c r="D117" s="387">
        <f>Ressources!L117</f>
        <v>0</v>
      </c>
      <c r="E117" s="430">
        <f>Ressources!T117</f>
        <v>3354187.3648498636</v>
      </c>
      <c r="F117" s="388">
        <f t="shared" si="5"/>
        <v>40697772.564860672</v>
      </c>
      <c r="G117" s="387">
        <f>'Besoins structurels'!I117</f>
        <v>0</v>
      </c>
      <c r="H117" s="387">
        <f>'Besoins structurels'!N117</f>
        <v>-4966</v>
      </c>
      <c r="I117" s="387">
        <f>'Besoins structurels'!V117</f>
        <v>0</v>
      </c>
      <c r="J117" s="389">
        <f t="shared" si="6"/>
        <v>-4966</v>
      </c>
      <c r="K117" s="387">
        <f>'Charges des villes'!N117</f>
        <v>-3515090.8196776006</v>
      </c>
      <c r="L117" s="387">
        <f>'Charges des villes'!U117</f>
        <v>-3428305.3569819774</v>
      </c>
      <c r="M117" s="378">
        <f t="shared" si="7"/>
        <v>-6943396.1766595785</v>
      </c>
      <c r="N117" s="388">
        <f>-VLOOKUP(A117,Paramètres!$B$23:$C$322,2,FALSE)*$N$5</f>
        <v>0</v>
      </c>
      <c r="O117" s="408"/>
      <c r="P117" s="639">
        <f t="shared" si="8"/>
        <v>33749410.388201095</v>
      </c>
      <c r="Q117" s="640"/>
      <c r="R117" s="640"/>
      <c r="S117" s="641"/>
      <c r="T117" s="388">
        <f>PCS!D117</f>
        <v>19231384.571872126</v>
      </c>
      <c r="U117" s="379">
        <f>Police!U117</f>
        <v>602608.74679520517</v>
      </c>
      <c r="V117" s="431">
        <f t="shared" si="9"/>
        <v>53583403.706868425</v>
      </c>
      <c r="W117" s="229"/>
      <c r="X117" s="229"/>
      <c r="Y117" s="229"/>
      <c r="Z117" s="99"/>
    </row>
    <row r="118" spans="1:26" x14ac:dyDescent="0.25">
      <c r="A118" s="208">
        <f>Données!A118</f>
        <v>5591</v>
      </c>
      <c r="B118" s="209" t="str">
        <f>Données!B118</f>
        <v>Renens</v>
      </c>
      <c r="C118" s="387">
        <f>Ressources!H118</f>
        <v>-23030753.07198919</v>
      </c>
      <c r="D118" s="387">
        <f>Ressources!L118</f>
        <v>0</v>
      </c>
      <c r="E118" s="430">
        <f>Ressources!T118</f>
        <v>-1618020.8513777498</v>
      </c>
      <c r="F118" s="388">
        <f t="shared" si="5"/>
        <v>-24648773.923366942</v>
      </c>
      <c r="G118" s="387">
        <f>'Besoins structurels'!I118</f>
        <v>0</v>
      </c>
      <c r="H118" s="387">
        <f>'Besoins structurels'!N118</f>
        <v>0</v>
      </c>
      <c r="I118" s="387">
        <f>'Besoins structurels'!V118</f>
        <v>0</v>
      </c>
      <c r="J118" s="389">
        <f t="shared" si="6"/>
        <v>0</v>
      </c>
      <c r="K118" s="387">
        <f>'Charges des villes'!N118</f>
        <v>-4572278.209867632</v>
      </c>
      <c r="L118" s="387">
        <f>'Charges des villes'!U118</f>
        <v>-2763578.6018956946</v>
      </c>
      <c r="M118" s="378">
        <f t="shared" si="7"/>
        <v>-7335856.8117633266</v>
      </c>
      <c r="N118" s="388">
        <f>-VLOOKUP(A118,Paramètres!$B$23:$C$322,2,FALSE)*$N$5</f>
        <v>-86300</v>
      </c>
      <c r="O118" s="408"/>
      <c r="P118" s="639">
        <f t="shared" si="8"/>
        <v>-32070930.735130269</v>
      </c>
      <c r="Q118" s="640"/>
      <c r="R118" s="640"/>
      <c r="S118" s="641"/>
      <c r="T118" s="388">
        <f>PCS!D118</f>
        <v>21221923.890823126</v>
      </c>
      <c r="U118" s="379">
        <f>Police!U118</f>
        <v>664981.60403576284</v>
      </c>
      <c r="V118" s="431">
        <f t="shared" si="9"/>
        <v>-10184025.24027138</v>
      </c>
      <c r="W118" s="229"/>
      <c r="X118" s="229"/>
      <c r="Y118" s="229"/>
      <c r="Z118" s="99"/>
    </row>
    <row r="119" spans="1:26" x14ac:dyDescent="0.25">
      <c r="A119" s="208">
        <f>Données!A119</f>
        <v>5592</v>
      </c>
      <c r="B119" s="209" t="str">
        <f>Données!B119</f>
        <v>Romanel-sur-Lausanne</v>
      </c>
      <c r="C119" s="387">
        <f>Ressources!H119</f>
        <v>-3584126.8771017427</v>
      </c>
      <c r="D119" s="387">
        <f>Ressources!L119</f>
        <v>0</v>
      </c>
      <c r="E119" s="430">
        <f>Ressources!T119</f>
        <v>-111604.8429853844</v>
      </c>
      <c r="F119" s="388">
        <f t="shared" si="5"/>
        <v>-3695731.7200871268</v>
      </c>
      <c r="G119" s="387">
        <f>'Besoins structurels'!I119</f>
        <v>0</v>
      </c>
      <c r="H119" s="387">
        <f>'Besoins structurels'!N119</f>
        <v>0</v>
      </c>
      <c r="I119" s="387">
        <f>'Besoins structurels'!V119</f>
        <v>0</v>
      </c>
      <c r="J119" s="389">
        <f t="shared" si="6"/>
        <v>0</v>
      </c>
      <c r="K119" s="387">
        <f>'Charges des villes'!N119</f>
        <v>810778.17168087466</v>
      </c>
      <c r="L119" s="387">
        <f>'Charges des villes'!U119</f>
        <v>437443.57767986431</v>
      </c>
      <c r="M119" s="378">
        <f t="shared" si="7"/>
        <v>1248221.749360739</v>
      </c>
      <c r="N119" s="388">
        <f>-VLOOKUP(A119,Paramètres!$B$23:$C$322,2,FALSE)*$N$5</f>
        <v>0</v>
      </c>
      <c r="O119" s="408"/>
      <c r="P119" s="639">
        <f t="shared" si="8"/>
        <v>-2447509.9707263876</v>
      </c>
      <c r="Q119" s="640"/>
      <c r="R119" s="640"/>
      <c r="S119" s="641"/>
      <c r="T119" s="388">
        <f>PCS!D119</f>
        <v>4255601.8558888184</v>
      </c>
      <c r="U119" s="379">
        <f>Police!U119</f>
        <v>741998.99491244822</v>
      </c>
      <c r="V119" s="431">
        <f t="shared" si="9"/>
        <v>2550090.8800748792</v>
      </c>
      <c r="W119" s="229"/>
      <c r="X119" s="229"/>
      <c r="Y119" s="229"/>
      <c r="Z119" s="99"/>
    </row>
    <row r="120" spans="1:26" x14ac:dyDescent="0.25">
      <c r="A120" s="208">
        <f>Données!A120</f>
        <v>5601</v>
      </c>
      <c r="B120" s="209" t="str">
        <f>Données!B120</f>
        <v>Chexbres</v>
      </c>
      <c r="C120" s="387">
        <f>Ressources!H120</f>
        <v>-54825.254444461571</v>
      </c>
      <c r="D120" s="387">
        <f>Ressources!L120</f>
        <v>0</v>
      </c>
      <c r="E120" s="430">
        <f>Ressources!T120</f>
        <v>15938.125144294929</v>
      </c>
      <c r="F120" s="388">
        <f t="shared" si="5"/>
        <v>-38887.129300166642</v>
      </c>
      <c r="G120" s="387">
        <f>'Besoins structurels'!I120</f>
        <v>0</v>
      </c>
      <c r="H120" s="387">
        <f>'Besoins structurels'!N120</f>
        <v>0</v>
      </c>
      <c r="I120" s="387">
        <f>'Besoins structurels'!V120</f>
        <v>0</v>
      </c>
      <c r="J120" s="389">
        <f t="shared" si="6"/>
        <v>0</v>
      </c>
      <c r="K120" s="387">
        <f>'Charges des villes'!N120</f>
        <v>741015.10561087495</v>
      </c>
      <c r="L120" s="387">
        <f>'Charges des villes'!U120</f>
        <v>228886.66272590356</v>
      </c>
      <c r="M120" s="378">
        <f t="shared" si="7"/>
        <v>969901.76833677851</v>
      </c>
      <c r="N120" s="388">
        <f>-VLOOKUP(A120,Paramètres!$B$23:$C$322,2,FALSE)*$N$5</f>
        <v>0</v>
      </c>
      <c r="O120" s="408"/>
      <c r="P120" s="639">
        <f t="shared" si="8"/>
        <v>931014.63903661189</v>
      </c>
      <c r="Q120" s="640"/>
      <c r="R120" s="640"/>
      <c r="S120" s="641"/>
      <c r="T120" s="388">
        <f>PCS!D120</f>
        <v>2226688.3236708427</v>
      </c>
      <c r="U120" s="379">
        <f>Police!U120</f>
        <v>69772.504169739026</v>
      </c>
      <c r="V120" s="431">
        <f t="shared" si="9"/>
        <v>3227475.4668771932</v>
      </c>
      <c r="W120" s="229"/>
      <c r="X120" s="229"/>
      <c r="Y120" s="229"/>
      <c r="Z120" s="99"/>
    </row>
    <row r="121" spans="1:26" x14ac:dyDescent="0.25">
      <c r="A121" s="208">
        <f>Données!A121</f>
        <v>5604</v>
      </c>
      <c r="B121" s="209" t="str">
        <f>Données!B121</f>
        <v>Forel (Lavaux)</v>
      </c>
      <c r="C121" s="387">
        <f>Ressources!H121</f>
        <v>-1570676.3482801334</v>
      </c>
      <c r="D121" s="387">
        <f>Ressources!L121</f>
        <v>0</v>
      </c>
      <c r="E121" s="430">
        <f>Ressources!T121</f>
        <v>-208353.18106438901</v>
      </c>
      <c r="F121" s="388">
        <f t="shared" si="5"/>
        <v>-1779029.5293445224</v>
      </c>
      <c r="G121" s="387">
        <f>'Besoins structurels'!I121</f>
        <v>-22764</v>
      </c>
      <c r="H121" s="387">
        <f>'Besoins structurels'!N121</f>
        <v>-29878</v>
      </c>
      <c r="I121" s="387">
        <f>'Besoins structurels'!V121</f>
        <v>0</v>
      </c>
      <c r="J121" s="389">
        <f t="shared" si="6"/>
        <v>-52642</v>
      </c>
      <c r="K121" s="387">
        <f>'Charges des villes'!N121</f>
        <v>702212.60367559898</v>
      </c>
      <c r="L121" s="387">
        <f>'Charges des villes'!U121</f>
        <v>211186.63357122696</v>
      </c>
      <c r="M121" s="378">
        <f t="shared" si="7"/>
        <v>913399.23724682594</v>
      </c>
      <c r="N121" s="388">
        <f>-VLOOKUP(A121,Paramètres!$B$23:$C$322,2,FALSE)*$N$5</f>
        <v>-49200</v>
      </c>
      <c r="O121" s="408"/>
      <c r="P121" s="639">
        <f t="shared" si="8"/>
        <v>-967472.29209769645</v>
      </c>
      <c r="Q121" s="640"/>
      <c r="R121" s="640"/>
      <c r="S121" s="641"/>
      <c r="T121" s="388">
        <f>PCS!D121</f>
        <v>2054496.3410626247</v>
      </c>
      <c r="U121" s="379">
        <f>Police!U121</f>
        <v>337205.57364725508</v>
      </c>
      <c r="V121" s="431">
        <f t="shared" si="9"/>
        <v>1424229.6226121834</v>
      </c>
      <c r="W121" s="229"/>
      <c r="X121" s="229"/>
      <c r="Y121" s="229"/>
      <c r="Z121" s="99"/>
    </row>
    <row r="122" spans="1:26" x14ac:dyDescent="0.25">
      <c r="A122" s="208">
        <f>Données!A122</f>
        <v>5606</v>
      </c>
      <c r="B122" s="209" t="str">
        <f>Données!B122</f>
        <v>Lutry</v>
      </c>
      <c r="C122" s="387">
        <f>Ressources!H122</f>
        <v>22582851.59292021</v>
      </c>
      <c r="D122" s="387">
        <f>Ressources!L122</f>
        <v>0</v>
      </c>
      <c r="E122" s="430">
        <f>Ressources!T122</f>
        <v>1821020.9335334376</v>
      </c>
      <c r="F122" s="388">
        <f t="shared" si="5"/>
        <v>24403872.526453648</v>
      </c>
      <c r="G122" s="387">
        <f>'Besoins structurels'!I122</f>
        <v>0</v>
      </c>
      <c r="H122" s="387">
        <f>'Besoins structurels'!N122</f>
        <v>-7106</v>
      </c>
      <c r="I122" s="387">
        <f>'Besoins structurels'!V122</f>
        <v>0</v>
      </c>
      <c r="J122" s="389">
        <f t="shared" si="6"/>
        <v>-7106</v>
      </c>
      <c r="K122" s="387">
        <f>'Charges des villes'!N122</f>
        <v>356659.6603536047</v>
      </c>
      <c r="L122" s="387">
        <f>'Charges des villes'!U122</f>
        <v>-1237862.4047841525</v>
      </c>
      <c r="M122" s="378">
        <f t="shared" si="7"/>
        <v>-881202.74443054781</v>
      </c>
      <c r="N122" s="388">
        <f>-VLOOKUP(A122,Paramètres!$B$23:$C$322,2,FALSE)*$N$5</f>
        <v>0</v>
      </c>
      <c r="O122" s="408"/>
      <c r="P122" s="639">
        <f t="shared" si="8"/>
        <v>23515563.782023098</v>
      </c>
      <c r="Q122" s="640"/>
      <c r="R122" s="640"/>
      <c r="S122" s="641"/>
      <c r="T122" s="388">
        <f>PCS!D122</f>
        <v>10577507.503076253</v>
      </c>
      <c r="U122" s="379">
        <f>Police!U122</f>
        <v>331442.51870291407</v>
      </c>
      <c r="V122" s="431">
        <f t="shared" si="9"/>
        <v>34424513.803802267</v>
      </c>
      <c r="W122" s="229"/>
      <c r="X122" s="229"/>
      <c r="Y122" s="229"/>
      <c r="Z122" s="99"/>
    </row>
    <row r="123" spans="1:26" x14ac:dyDescent="0.25">
      <c r="A123" s="208">
        <f>Données!A123</f>
        <v>5607</v>
      </c>
      <c r="B123" s="209" t="str">
        <f>Données!B123</f>
        <v>Puidoux</v>
      </c>
      <c r="C123" s="387">
        <f>Ressources!H123</f>
        <v>-556231.91877237917</v>
      </c>
      <c r="D123" s="387">
        <f>Ressources!L123</f>
        <v>0</v>
      </c>
      <c r="E123" s="430">
        <f>Ressources!T123</f>
        <v>-336664.33398832456</v>
      </c>
      <c r="F123" s="388">
        <f t="shared" si="5"/>
        <v>-892896.25276070368</v>
      </c>
      <c r="G123" s="387">
        <f>'Besoins structurels'!I123</f>
        <v>0</v>
      </c>
      <c r="H123" s="387">
        <f>'Besoins structurels'!N123</f>
        <v>-13051</v>
      </c>
      <c r="I123" s="387">
        <f>'Besoins structurels'!V123</f>
        <v>0</v>
      </c>
      <c r="J123" s="389">
        <f t="shared" si="6"/>
        <v>-13051</v>
      </c>
      <c r="K123" s="387">
        <f>'Charges des villes'!N123</f>
        <v>899107.58492431301</v>
      </c>
      <c r="L123" s="387">
        <f>'Charges des villes'!U123</f>
        <v>301001.63865324302</v>
      </c>
      <c r="M123" s="378">
        <f t="shared" si="7"/>
        <v>1200109.223577556</v>
      </c>
      <c r="N123" s="388">
        <f>-VLOOKUP(A123,Paramètres!$B$23:$C$322,2,FALSE)*$N$5</f>
        <v>-262100</v>
      </c>
      <c r="O123" s="408"/>
      <c r="P123" s="639">
        <f t="shared" si="8"/>
        <v>32061.970816852292</v>
      </c>
      <c r="Q123" s="640"/>
      <c r="R123" s="640"/>
      <c r="S123" s="641"/>
      <c r="T123" s="388">
        <f>PCS!D123</f>
        <v>2928247.6585260397</v>
      </c>
      <c r="U123" s="379">
        <f>Police!U123</f>
        <v>91755.621921848578</v>
      </c>
      <c r="V123" s="431">
        <f t="shared" si="9"/>
        <v>3052065.2512647407</v>
      </c>
      <c r="W123" s="229"/>
      <c r="X123" s="229"/>
      <c r="Y123" s="229"/>
      <c r="Z123" s="99"/>
    </row>
    <row r="124" spans="1:26" x14ac:dyDescent="0.25">
      <c r="A124" s="208">
        <f>Données!A124</f>
        <v>5609</v>
      </c>
      <c r="B124" s="209" t="str">
        <f>Données!B124</f>
        <v>Rivaz</v>
      </c>
      <c r="C124" s="387">
        <f>Ressources!H124</f>
        <v>-43176.491057962958</v>
      </c>
      <c r="D124" s="387">
        <f>Ressources!L124</f>
        <v>0</v>
      </c>
      <c r="E124" s="430">
        <f>Ressources!T124</f>
        <v>-8081.2723276743272</v>
      </c>
      <c r="F124" s="388">
        <f t="shared" si="5"/>
        <v>-51257.763385637285</v>
      </c>
      <c r="G124" s="387">
        <f>'Besoins structurels'!I124</f>
        <v>0</v>
      </c>
      <c r="H124" s="387">
        <f>'Besoins structurels'!N124</f>
        <v>0</v>
      </c>
      <c r="I124" s="387">
        <f>'Besoins structurels'!V124</f>
        <v>0</v>
      </c>
      <c r="J124" s="389">
        <f t="shared" si="6"/>
        <v>0</v>
      </c>
      <c r="K124" s="387">
        <f>'Charges des villes'!N124</f>
        <v>151659.75705078148</v>
      </c>
      <c r="L124" s="387">
        <f>'Charges des villes'!U124</f>
        <v>33276.054810791989</v>
      </c>
      <c r="M124" s="378">
        <f t="shared" si="7"/>
        <v>184935.81186157349</v>
      </c>
      <c r="N124" s="388">
        <f>-VLOOKUP(A124,Paramètres!$B$23:$C$322,2,FALSE)*$N$5</f>
        <v>0</v>
      </c>
      <c r="O124" s="408"/>
      <c r="P124" s="639">
        <f t="shared" si="8"/>
        <v>133678.0484759362</v>
      </c>
      <c r="Q124" s="640"/>
      <c r="R124" s="640"/>
      <c r="S124" s="641"/>
      <c r="T124" s="388">
        <f>PCS!D124</f>
        <v>323720.92730344995</v>
      </c>
      <c r="U124" s="379">
        <f>Police!U124</f>
        <v>10143.682665419416</v>
      </c>
      <c r="V124" s="431">
        <f t="shared" si="9"/>
        <v>467542.65844480554</v>
      </c>
      <c r="W124" s="229"/>
      <c r="X124" s="229"/>
      <c r="Y124" s="229"/>
      <c r="Z124" s="99"/>
    </row>
    <row r="125" spans="1:26" x14ac:dyDescent="0.25">
      <c r="A125" s="208">
        <f>Données!A125</f>
        <v>5610</v>
      </c>
      <c r="B125" s="209" t="str">
        <f>Données!B125</f>
        <v>St-Saphorin (Lavaux)</v>
      </c>
      <c r="C125" s="387">
        <f>Ressources!H125</f>
        <v>-78184.767916614161</v>
      </c>
      <c r="D125" s="387">
        <f>Ressources!L125</f>
        <v>0</v>
      </c>
      <c r="E125" s="430">
        <f>Ressources!T125</f>
        <v>-45429.744484696988</v>
      </c>
      <c r="F125" s="388">
        <f t="shared" si="5"/>
        <v>-123614.51240131115</v>
      </c>
      <c r="G125" s="387">
        <f>'Besoins structurels'!I125</f>
        <v>0</v>
      </c>
      <c r="H125" s="387">
        <f>'Besoins structurels'!N125</f>
        <v>0</v>
      </c>
      <c r="I125" s="387">
        <f>'Besoins structurels'!V125</f>
        <v>0</v>
      </c>
      <c r="J125" s="389">
        <f t="shared" si="6"/>
        <v>0</v>
      </c>
      <c r="K125" s="387">
        <f>'Charges des villes'!N125</f>
        <v>179318.0714065471</v>
      </c>
      <c r="L125" s="387">
        <f>'Charges des villes'!U125</f>
        <v>39344.636235252532</v>
      </c>
      <c r="M125" s="378">
        <f t="shared" si="7"/>
        <v>218662.70764179964</v>
      </c>
      <c r="N125" s="388">
        <f>-VLOOKUP(A125,Paramètres!$B$23:$C$322,2,FALSE)*$N$5</f>
        <v>-5300</v>
      </c>
      <c r="O125" s="408"/>
      <c r="P125" s="639">
        <f t="shared" si="8"/>
        <v>89748.195240488494</v>
      </c>
      <c r="Q125" s="640"/>
      <c r="R125" s="640"/>
      <c r="S125" s="641"/>
      <c r="T125" s="388">
        <f>PCS!D125</f>
        <v>382758.17848341045</v>
      </c>
      <c r="U125" s="379">
        <f>Police!U125</f>
        <v>11993.594397714751</v>
      </c>
      <c r="V125" s="431">
        <f t="shared" si="9"/>
        <v>484499.96812161373</v>
      </c>
      <c r="W125" s="229"/>
      <c r="X125" s="229"/>
      <c r="Y125" s="229"/>
      <c r="Z125" s="99"/>
    </row>
    <row r="126" spans="1:26" x14ac:dyDescent="0.25">
      <c r="A126" s="208">
        <f>Données!A126</f>
        <v>5611</v>
      </c>
      <c r="B126" s="209" t="str">
        <f>Données!B126</f>
        <v>Savigny</v>
      </c>
      <c r="C126" s="387">
        <f>Ressources!H126</f>
        <v>-863195.59017209325</v>
      </c>
      <c r="D126" s="387">
        <f>Ressources!L126</f>
        <v>0</v>
      </c>
      <c r="E126" s="430">
        <f>Ressources!T126</f>
        <v>23132.951957975165</v>
      </c>
      <c r="F126" s="388">
        <f t="shared" si="5"/>
        <v>-840062.63821411808</v>
      </c>
      <c r="G126" s="387">
        <f>'Besoins structurels'!I126</f>
        <v>0</v>
      </c>
      <c r="H126" s="387">
        <f>'Besoins structurels'!N126</f>
        <v>-124858</v>
      </c>
      <c r="I126" s="387">
        <f>'Besoins structurels'!V126</f>
        <v>0</v>
      </c>
      <c r="J126" s="389">
        <f t="shared" si="6"/>
        <v>-124858</v>
      </c>
      <c r="K126" s="387">
        <f>'Charges des villes'!N126</f>
        <v>868665.02938936208</v>
      </c>
      <c r="L126" s="387">
        <f>'Charges des villes'!U126</f>
        <v>354607.44123597787</v>
      </c>
      <c r="M126" s="378">
        <f t="shared" si="7"/>
        <v>1223272.47062534</v>
      </c>
      <c r="N126" s="388">
        <f>-VLOOKUP(A126,Paramètres!$B$23:$C$322,2,FALSE)*$N$5</f>
        <v>0</v>
      </c>
      <c r="O126" s="408"/>
      <c r="P126" s="639">
        <f t="shared" si="8"/>
        <v>258351.83241122193</v>
      </c>
      <c r="Q126" s="640"/>
      <c r="R126" s="640"/>
      <c r="S126" s="641"/>
      <c r="T126" s="388">
        <f>PCS!D126</f>
        <v>3449743.3772823573</v>
      </c>
      <c r="U126" s="379">
        <f>Police!U126</f>
        <v>108096.50889045736</v>
      </c>
      <c r="V126" s="431">
        <f t="shared" si="9"/>
        <v>3816191.7185840365</v>
      </c>
      <c r="W126" s="229"/>
      <c r="X126" s="229"/>
      <c r="Y126" s="229"/>
      <c r="Z126" s="99"/>
    </row>
    <row r="127" spans="1:26" x14ac:dyDescent="0.25">
      <c r="A127" s="208">
        <f>Données!A127</f>
        <v>5613</v>
      </c>
      <c r="B127" s="209" t="str">
        <f>Données!B127</f>
        <v>Bourg-en-Lavaux</v>
      </c>
      <c r="C127" s="387">
        <f>Ressources!H127</f>
        <v>4815068.4298469452</v>
      </c>
      <c r="D127" s="387">
        <f>Ressources!L127</f>
        <v>0</v>
      </c>
      <c r="E127" s="430">
        <f>Ressources!T127</f>
        <v>256562.26603118493</v>
      </c>
      <c r="F127" s="388">
        <f t="shared" si="5"/>
        <v>5071630.6958781304</v>
      </c>
      <c r="G127" s="387">
        <f>'Besoins structurels'!I127</f>
        <v>0</v>
      </c>
      <c r="H127" s="387">
        <f>'Besoins structurels'!N127</f>
        <v>-30185</v>
      </c>
      <c r="I127" s="387">
        <f>'Besoins structurels'!V127</f>
        <v>0</v>
      </c>
      <c r="J127" s="389">
        <f t="shared" si="6"/>
        <v>-30185</v>
      </c>
      <c r="K127" s="387">
        <f>'Charges des villes'!N127</f>
        <v>730203.05838700896</v>
      </c>
      <c r="L127" s="387">
        <f>'Charges des villes'!U127</f>
        <v>552746.6247446147</v>
      </c>
      <c r="M127" s="378">
        <f t="shared" si="7"/>
        <v>1282949.6831316235</v>
      </c>
      <c r="N127" s="388">
        <f>-VLOOKUP(A127,Paramètres!$B$23:$C$322,2,FALSE)*$N$5</f>
        <v>0</v>
      </c>
      <c r="O127" s="408"/>
      <c r="P127" s="639">
        <f t="shared" si="8"/>
        <v>6324395.3790097535</v>
      </c>
      <c r="Q127" s="640"/>
      <c r="R127" s="640"/>
      <c r="S127" s="641"/>
      <c r="T127" s="388">
        <f>PCS!D127</f>
        <v>5377309.6283080671</v>
      </c>
      <c r="U127" s="379">
        <f>Police!U127</f>
        <v>168496.12694990003</v>
      </c>
      <c r="V127" s="431">
        <f t="shared" si="9"/>
        <v>11870201.134267721</v>
      </c>
      <c r="W127" s="229"/>
      <c r="X127" s="229"/>
      <c r="Y127" s="229"/>
      <c r="Z127" s="99"/>
    </row>
    <row r="128" spans="1:26" x14ac:dyDescent="0.25">
      <c r="A128" s="208">
        <f>Données!A128</f>
        <v>5621</v>
      </c>
      <c r="B128" s="209" t="str">
        <f>Données!B128</f>
        <v>Aclens</v>
      </c>
      <c r="C128" s="387">
        <f>Ressources!H128</f>
        <v>80833.115438365552</v>
      </c>
      <c r="D128" s="387">
        <f>Ressources!L128</f>
        <v>0</v>
      </c>
      <c r="E128" s="430">
        <f>Ressources!T128</f>
        <v>82872.522397128181</v>
      </c>
      <c r="F128" s="388">
        <f t="shared" si="5"/>
        <v>163705.63783549372</v>
      </c>
      <c r="G128" s="387">
        <f>'Besoins structurels'!I128</f>
        <v>0</v>
      </c>
      <c r="H128" s="387">
        <f>'Besoins structurels'!N128</f>
        <v>0</v>
      </c>
      <c r="I128" s="387">
        <f>'Besoins structurels'!V128</f>
        <v>0</v>
      </c>
      <c r="J128" s="389">
        <f t="shared" si="6"/>
        <v>0</v>
      </c>
      <c r="K128" s="387">
        <f>'Charges des villes'!N128</f>
        <v>270590.50878057361</v>
      </c>
      <c r="L128" s="387">
        <f>'Charges des villes'!U128</f>
        <v>59370.954935972331</v>
      </c>
      <c r="M128" s="378">
        <f t="shared" si="7"/>
        <v>329961.46371654596</v>
      </c>
      <c r="N128" s="388">
        <f>-VLOOKUP(A128,Paramètres!$B$23:$C$322,2,FALSE)*$N$5</f>
        <v>0</v>
      </c>
      <c r="O128" s="408"/>
      <c r="P128" s="639">
        <f t="shared" si="8"/>
        <v>493667.10155203968</v>
      </c>
      <c r="Q128" s="640"/>
      <c r="R128" s="640"/>
      <c r="S128" s="641"/>
      <c r="T128" s="388">
        <f>PCS!D128</f>
        <v>577581.10737728002</v>
      </c>
      <c r="U128" s="379">
        <f>Police!U128</f>
        <v>87120.495796567571</v>
      </c>
      <c r="V128" s="431">
        <f t="shared" si="9"/>
        <v>1158368.7047258872</v>
      </c>
      <c r="W128" s="229"/>
      <c r="X128" s="229"/>
      <c r="Y128" s="229"/>
      <c r="Z128" s="99"/>
    </row>
    <row r="129" spans="1:26" x14ac:dyDescent="0.25">
      <c r="A129" s="208">
        <f>Données!A129</f>
        <v>5622</v>
      </c>
      <c r="B129" s="209" t="str">
        <f>Données!B129</f>
        <v>Bremblens</v>
      </c>
      <c r="C129" s="387">
        <f>Ressources!H129</f>
        <v>-41914.861161285786</v>
      </c>
      <c r="D129" s="387">
        <f>Ressources!L129</f>
        <v>0</v>
      </c>
      <c r="E129" s="430">
        <f>Ressources!T129</f>
        <v>-94765.704609482375</v>
      </c>
      <c r="F129" s="388">
        <f t="shared" si="5"/>
        <v>-136680.56577076815</v>
      </c>
      <c r="G129" s="387">
        <f>'Besoins structurels'!I129</f>
        <v>0</v>
      </c>
      <c r="H129" s="387">
        <f>'Besoins structurels'!N129</f>
        <v>0</v>
      </c>
      <c r="I129" s="387">
        <f>'Besoins structurels'!V129</f>
        <v>0</v>
      </c>
      <c r="J129" s="389">
        <f t="shared" si="6"/>
        <v>0</v>
      </c>
      <c r="K129" s="387">
        <f>'Charges des villes'!N129</f>
        <v>283497.72214659757</v>
      </c>
      <c r="L129" s="387">
        <f>'Charges des villes'!U129</f>
        <v>62202.959600720591</v>
      </c>
      <c r="M129" s="378">
        <f t="shared" si="7"/>
        <v>345700.68174731819</v>
      </c>
      <c r="N129" s="388">
        <f>-VLOOKUP(A129,Paramètres!$B$23:$C$322,2,FALSE)*$N$5</f>
        <v>0</v>
      </c>
      <c r="O129" s="408"/>
      <c r="P129" s="639">
        <f t="shared" si="8"/>
        <v>209020.11597655003</v>
      </c>
      <c r="Q129" s="640"/>
      <c r="R129" s="640"/>
      <c r="S129" s="641"/>
      <c r="T129" s="388">
        <f>PCS!D129</f>
        <v>605131.82459459489</v>
      </c>
      <c r="U129" s="379">
        <f>Police!U129</f>
        <v>91276.158287715589</v>
      </c>
      <c r="V129" s="431">
        <f t="shared" si="9"/>
        <v>905428.09885886055</v>
      </c>
      <c r="W129" s="229"/>
      <c r="X129" s="229"/>
      <c r="Y129" s="229"/>
      <c r="Z129" s="99"/>
    </row>
    <row r="130" spans="1:26" x14ac:dyDescent="0.25">
      <c r="A130" s="208">
        <f>Données!A130</f>
        <v>5623</v>
      </c>
      <c r="B130" s="209" t="str">
        <f>Données!B130</f>
        <v>Buchillon</v>
      </c>
      <c r="C130" s="387">
        <f>Ressources!H130</f>
        <v>3623554.1066437922</v>
      </c>
      <c r="D130" s="387">
        <f>Ressources!L130</f>
        <v>0</v>
      </c>
      <c r="E130" s="430">
        <f>Ressources!T130</f>
        <v>396084.43833804084</v>
      </c>
      <c r="F130" s="388">
        <f t="shared" si="5"/>
        <v>4019638.5449818331</v>
      </c>
      <c r="G130" s="387">
        <f>'Besoins structurels'!I130</f>
        <v>0</v>
      </c>
      <c r="H130" s="387">
        <f>'Besoins structurels'!N130</f>
        <v>0</v>
      </c>
      <c r="I130" s="387">
        <f>'Besoins structurels'!V130</f>
        <v>0</v>
      </c>
      <c r="J130" s="389">
        <f t="shared" si="6"/>
        <v>0</v>
      </c>
      <c r="K130" s="387">
        <f>'Charges des villes'!N130</f>
        <v>316226.72746758687</v>
      </c>
      <c r="L130" s="387">
        <f>'Charges des villes'!U130</f>
        <v>69384.114286332231</v>
      </c>
      <c r="M130" s="378">
        <f t="shared" si="7"/>
        <v>385610.84175391909</v>
      </c>
      <c r="N130" s="388">
        <f>-VLOOKUP(A130,Paramètres!$B$23:$C$322,2,FALSE)*$N$5</f>
        <v>0</v>
      </c>
      <c r="O130" s="408"/>
      <c r="P130" s="639">
        <f t="shared" si="8"/>
        <v>4405249.3867357522</v>
      </c>
      <c r="Q130" s="640"/>
      <c r="R130" s="640"/>
      <c r="S130" s="641"/>
      <c r="T130" s="388">
        <f>PCS!D130</f>
        <v>674992.57182421489</v>
      </c>
      <c r="U130" s="379">
        <f>Police!U130</f>
        <v>21150.657472576655</v>
      </c>
      <c r="V130" s="431">
        <f t="shared" si="9"/>
        <v>5101392.6160325445</v>
      </c>
      <c r="W130" s="229"/>
      <c r="X130" s="229"/>
      <c r="Y130" s="229"/>
      <c r="Z130" s="99"/>
    </row>
    <row r="131" spans="1:26" x14ac:dyDescent="0.25">
      <c r="A131" s="208">
        <f>Données!A131</f>
        <v>5624</v>
      </c>
      <c r="B131" s="209" t="str">
        <f>Données!B131</f>
        <v>Bussigny</v>
      </c>
      <c r="C131" s="387">
        <f>Ressources!H131</f>
        <v>-9722810.7639839556</v>
      </c>
      <c r="D131" s="387">
        <f>Ressources!L131</f>
        <v>0</v>
      </c>
      <c r="E131" s="430">
        <f>Ressources!T131</f>
        <v>-1098206.8659330588</v>
      </c>
      <c r="F131" s="388">
        <f t="shared" si="5"/>
        <v>-10821017.629917014</v>
      </c>
      <c r="G131" s="387">
        <f>'Besoins structurels'!I131</f>
        <v>0</v>
      </c>
      <c r="H131" s="387">
        <f>'Besoins structurels'!N131</f>
        <v>0</v>
      </c>
      <c r="I131" s="387">
        <f>'Besoins structurels'!V131</f>
        <v>0</v>
      </c>
      <c r="J131" s="389">
        <f t="shared" si="6"/>
        <v>0</v>
      </c>
      <c r="K131" s="387">
        <f>'Charges des villes'!N131</f>
        <v>291846.17009880207</v>
      </c>
      <c r="L131" s="387">
        <f>'Charges des villes'!U131</f>
        <v>-608766.08306817035</v>
      </c>
      <c r="M131" s="378">
        <f t="shared" si="7"/>
        <v>-316919.91296936828</v>
      </c>
      <c r="N131" s="388">
        <f>-VLOOKUP(A131,Paramètres!$B$23:$C$322,2,FALSE)*$N$5</f>
        <v>0</v>
      </c>
      <c r="O131" s="408"/>
      <c r="P131" s="639">
        <f t="shared" si="8"/>
        <v>-11137937.542886382</v>
      </c>
      <c r="Q131" s="640"/>
      <c r="R131" s="640"/>
      <c r="S131" s="641"/>
      <c r="T131" s="388">
        <f>PCS!D131</f>
        <v>11479793.491943315</v>
      </c>
      <c r="U131" s="379">
        <f>Police!U131</f>
        <v>359715.33634482778</v>
      </c>
      <c r="V131" s="431">
        <f t="shared" si="9"/>
        <v>701571.28540176048</v>
      </c>
      <c r="W131" s="229"/>
      <c r="X131" s="229"/>
      <c r="Y131" s="229"/>
      <c r="Z131" s="99"/>
    </row>
    <row r="132" spans="1:26" x14ac:dyDescent="0.25">
      <c r="A132" s="208">
        <f>Données!A132</f>
        <v>5627</v>
      </c>
      <c r="B132" s="209" t="str">
        <f>Données!B132</f>
        <v>Chavannes-près-Renens</v>
      </c>
      <c r="C132" s="387">
        <f>Ressources!H132</f>
        <v>-14892444.413549956</v>
      </c>
      <c r="D132" s="387">
        <f>Ressources!L132</f>
        <v>-459192</v>
      </c>
      <c r="E132" s="430">
        <f>Ressources!T132</f>
        <v>-919643.59577114205</v>
      </c>
      <c r="F132" s="388">
        <f t="shared" si="5"/>
        <v>-16271280.009321097</v>
      </c>
      <c r="G132" s="387">
        <f>'Besoins structurels'!I132</f>
        <v>0</v>
      </c>
      <c r="H132" s="387">
        <f>'Besoins structurels'!N132</f>
        <v>0</v>
      </c>
      <c r="I132" s="387">
        <f>'Besoins structurels'!V132</f>
        <v>0</v>
      </c>
      <c r="J132" s="389">
        <f t="shared" si="6"/>
        <v>0</v>
      </c>
      <c r="K132" s="387">
        <f>'Charges des villes'!N132</f>
        <v>425855.30589281023</v>
      </c>
      <c r="L132" s="387">
        <f>'Charges des villes'!U132</f>
        <v>-611864.34502660006</v>
      </c>
      <c r="M132" s="378">
        <f t="shared" si="7"/>
        <v>-186009.03913378983</v>
      </c>
      <c r="N132" s="388">
        <f>-VLOOKUP(A132,Paramètres!$B$23:$C$322,2,FALSE)*$N$5</f>
        <v>0</v>
      </c>
      <c r="O132" s="408"/>
      <c r="P132" s="639">
        <f t="shared" si="8"/>
        <v>-16457289.048454886</v>
      </c>
      <c r="Q132" s="640"/>
      <c r="R132" s="640"/>
      <c r="S132" s="641"/>
      <c r="T132" s="388">
        <f>PCS!D132</f>
        <v>9614216.3546565641</v>
      </c>
      <c r="U132" s="379">
        <f>Police!U132</f>
        <v>301258.12560429517</v>
      </c>
      <c r="V132" s="431">
        <f t="shared" si="9"/>
        <v>-6541814.5681940271</v>
      </c>
      <c r="W132" s="229"/>
      <c r="X132" s="229"/>
      <c r="Y132" s="229"/>
      <c r="Z132" s="99"/>
    </row>
    <row r="133" spans="1:26" x14ac:dyDescent="0.25">
      <c r="A133" s="208">
        <f>Données!A133</f>
        <v>5628</v>
      </c>
      <c r="B133" s="209" t="str">
        <f>Données!B133</f>
        <v>Chigny</v>
      </c>
      <c r="C133" s="387">
        <f>Ressources!H133</f>
        <v>582402.70506699884</v>
      </c>
      <c r="D133" s="387">
        <f>Ressources!L133</f>
        <v>0</v>
      </c>
      <c r="E133" s="430">
        <f>Ressources!T133</f>
        <v>29242.154900841299</v>
      </c>
      <c r="F133" s="388">
        <f t="shared" si="5"/>
        <v>611644.85996784014</v>
      </c>
      <c r="G133" s="387">
        <f>'Besoins structurels'!I133</f>
        <v>0</v>
      </c>
      <c r="H133" s="387">
        <f>'Besoins structurels'!N133</f>
        <v>0</v>
      </c>
      <c r="I133" s="387">
        <f>'Besoins structurels'!V133</f>
        <v>0</v>
      </c>
      <c r="J133" s="389">
        <f t="shared" si="6"/>
        <v>0</v>
      </c>
      <c r="K133" s="387">
        <f>'Charges des villes'!N133</f>
        <v>193608.20049035933</v>
      </c>
      <c r="L133" s="387">
        <f>'Charges des villes'!U133</f>
        <v>42480.06997122382</v>
      </c>
      <c r="M133" s="378">
        <f t="shared" si="7"/>
        <v>236088.27046158316</v>
      </c>
      <c r="N133" s="388">
        <f>-VLOOKUP(A133,Paramètres!$B$23:$C$322,2,FALSE)*$N$5</f>
        <v>0</v>
      </c>
      <c r="O133" s="408"/>
      <c r="P133" s="639">
        <f t="shared" si="8"/>
        <v>847733.1304294233</v>
      </c>
      <c r="Q133" s="640"/>
      <c r="R133" s="640"/>
      <c r="S133" s="641"/>
      <c r="T133" s="388">
        <f>PCS!D133</f>
        <v>413260.75825972337</v>
      </c>
      <c r="U133" s="379">
        <f>Police!U133</f>
        <v>62334.937367220409</v>
      </c>
      <c r="V133" s="431">
        <f t="shared" si="9"/>
        <v>1323328.826056367</v>
      </c>
      <c r="W133" s="229"/>
      <c r="X133" s="229"/>
      <c r="Y133" s="229"/>
      <c r="Z133" s="99"/>
    </row>
    <row r="134" spans="1:26" x14ac:dyDescent="0.25">
      <c r="A134" s="208">
        <f>Données!A134</f>
        <v>5629</v>
      </c>
      <c r="B134" s="209" t="str">
        <f>Données!B134</f>
        <v>Clarmont</v>
      </c>
      <c r="C134" s="387">
        <f>Ressources!H134</f>
        <v>-174263.27879092819</v>
      </c>
      <c r="D134" s="387">
        <f>Ressources!L134</f>
        <v>0</v>
      </c>
      <c r="E134" s="430">
        <f>Ressources!T134</f>
        <v>-25858.494196686159</v>
      </c>
      <c r="F134" s="388">
        <f t="shared" si="5"/>
        <v>-200121.77298761436</v>
      </c>
      <c r="G134" s="387">
        <f>'Besoins structurels'!I134</f>
        <v>0</v>
      </c>
      <c r="H134" s="387">
        <f>'Besoins structurels'!N134</f>
        <v>0</v>
      </c>
      <c r="I134" s="387">
        <f>'Besoins structurels'!V134</f>
        <v>0</v>
      </c>
      <c r="J134" s="389">
        <f t="shared" si="6"/>
        <v>0</v>
      </c>
      <c r="K134" s="387">
        <f>'Charges des villes'!N134</f>
        <v>105101.59455190937</v>
      </c>
      <c r="L134" s="387">
        <f>'Charges des villes'!U134</f>
        <v>23060.609412950071</v>
      </c>
      <c r="M134" s="378">
        <f t="shared" si="7"/>
        <v>128162.20396485944</v>
      </c>
      <c r="N134" s="388">
        <f>-VLOOKUP(A134,Paramètres!$B$23:$C$322,2,FALSE)*$N$5</f>
        <v>-25400</v>
      </c>
      <c r="O134" s="408"/>
      <c r="P134" s="639">
        <f t="shared" si="8"/>
        <v>-97359.56902275492</v>
      </c>
      <c r="Q134" s="640"/>
      <c r="R134" s="640"/>
      <c r="S134" s="641"/>
      <c r="T134" s="388">
        <f>PCS!D134</f>
        <v>224341.55448384982</v>
      </c>
      <c r="U134" s="379">
        <f>Police!U134</f>
        <v>33838.96599934822</v>
      </c>
      <c r="V134" s="431">
        <f t="shared" si="9"/>
        <v>160820.95146044312</v>
      </c>
      <c r="W134" s="229"/>
      <c r="X134" s="229"/>
      <c r="Y134" s="229"/>
      <c r="Z134" s="99"/>
    </row>
    <row r="135" spans="1:26" x14ac:dyDescent="0.25">
      <c r="A135" s="208">
        <f>Données!A135</f>
        <v>5631</v>
      </c>
      <c r="B135" s="209" t="str">
        <f>Données!B135</f>
        <v>Denens</v>
      </c>
      <c r="C135" s="387">
        <f>Ressources!H135</f>
        <v>533453.90287670516</v>
      </c>
      <c r="D135" s="387">
        <f>Ressources!L135</f>
        <v>0</v>
      </c>
      <c r="E135" s="430">
        <f>Ressources!T135</f>
        <v>-70696.860675180389</v>
      </c>
      <c r="F135" s="388">
        <f t="shared" si="5"/>
        <v>462757.04220152478</v>
      </c>
      <c r="G135" s="387">
        <f>'Besoins structurels'!I135</f>
        <v>0</v>
      </c>
      <c r="H135" s="387">
        <f>'Besoins structurels'!N135</f>
        <v>0</v>
      </c>
      <c r="I135" s="387">
        <f>'Besoins structurels'!V135</f>
        <v>0</v>
      </c>
      <c r="J135" s="389">
        <f t="shared" si="6"/>
        <v>0</v>
      </c>
      <c r="K135" s="387">
        <f>'Charges des villes'!N135</f>
        <v>342041.15419963485</v>
      </c>
      <c r="L135" s="387">
        <f>'Charges des villes'!U135</f>
        <v>75048.12361582875</v>
      </c>
      <c r="M135" s="378">
        <f t="shared" si="7"/>
        <v>417089.2778154636</v>
      </c>
      <c r="N135" s="388">
        <f>-VLOOKUP(A135,Paramètres!$B$23:$C$322,2,FALSE)*$N$5</f>
        <v>0</v>
      </c>
      <c r="O135" s="408"/>
      <c r="P135" s="639">
        <f t="shared" si="8"/>
        <v>879846.32001698832</v>
      </c>
      <c r="Q135" s="640"/>
      <c r="R135" s="640"/>
      <c r="S135" s="641"/>
      <c r="T135" s="388">
        <f>PCS!D135</f>
        <v>730094.00625884463</v>
      </c>
      <c r="U135" s="379">
        <f>Police!U135</f>
        <v>110125.05601542273</v>
      </c>
      <c r="V135" s="431">
        <f t="shared" si="9"/>
        <v>1720065.3822912558</v>
      </c>
      <c r="W135" s="229"/>
      <c r="X135" s="229"/>
      <c r="Y135" s="229"/>
      <c r="Z135" s="99"/>
    </row>
    <row r="136" spans="1:26" x14ac:dyDescent="0.25">
      <c r="A136" s="208">
        <f>Données!A136</f>
        <v>5632</v>
      </c>
      <c r="B136" s="209" t="str">
        <f>Données!B136</f>
        <v>Denges</v>
      </c>
      <c r="C136" s="387">
        <f>Ressources!H136</f>
        <v>-370524.24045814486</v>
      </c>
      <c r="D136" s="387">
        <f>Ressources!L136</f>
        <v>0</v>
      </c>
      <c r="E136" s="430">
        <f>Ressources!T136</f>
        <v>-14456.907540844171</v>
      </c>
      <c r="F136" s="388">
        <f t="shared" si="5"/>
        <v>-384981.14799898904</v>
      </c>
      <c r="G136" s="387">
        <f>'Besoins structurels'!I136</f>
        <v>0</v>
      </c>
      <c r="H136" s="387">
        <f>'Besoins structurels'!N136</f>
        <v>0</v>
      </c>
      <c r="I136" s="387">
        <f>'Besoins structurels'!V136</f>
        <v>0</v>
      </c>
      <c r="J136" s="389">
        <f t="shared" si="6"/>
        <v>0</v>
      </c>
      <c r="K136" s="387">
        <f>'Charges des villes'!N136</f>
        <v>646558.72947128909</v>
      </c>
      <c r="L136" s="387">
        <f>'Charges des villes'!U136</f>
        <v>-62040.364654222387</v>
      </c>
      <c r="M136" s="378">
        <f t="shared" si="7"/>
        <v>584518.3648170667</v>
      </c>
      <c r="N136" s="388">
        <f>-VLOOKUP(A136,Paramètres!$B$23:$C$322,2,FALSE)*$N$5</f>
        <v>0</v>
      </c>
      <c r="O136" s="408"/>
      <c r="P136" s="639">
        <f t="shared" si="8"/>
        <v>199537.21681807766</v>
      </c>
      <c r="Q136" s="640"/>
      <c r="R136" s="640"/>
      <c r="S136" s="641"/>
      <c r="T136" s="388">
        <f>PCS!D136</f>
        <v>1807523.8402931234</v>
      </c>
      <c r="U136" s="379">
        <f>Police!U136</f>
        <v>293652.21603450709</v>
      </c>
      <c r="V136" s="431">
        <f t="shared" si="9"/>
        <v>2300713.2731457083</v>
      </c>
      <c r="W136" s="229"/>
      <c r="X136" s="229"/>
      <c r="Y136" s="229"/>
      <c r="Z136" s="99"/>
    </row>
    <row r="137" spans="1:26" x14ac:dyDescent="0.25">
      <c r="A137" s="208">
        <f>Données!A137</f>
        <v>5633</v>
      </c>
      <c r="B137" s="209" t="str">
        <f>Données!B137</f>
        <v>Echandens</v>
      </c>
      <c r="C137" s="387">
        <f>Ressources!H137</f>
        <v>128890.0755290832</v>
      </c>
      <c r="D137" s="387">
        <f>Ressources!L137</f>
        <v>0</v>
      </c>
      <c r="E137" s="430">
        <f>Ressources!T137</f>
        <v>63274.634005064843</v>
      </c>
      <c r="F137" s="388">
        <f t="shared" ref="F137:F200" si="10">SUM(C137:E137)</f>
        <v>192164.70953414805</v>
      </c>
      <c r="G137" s="387">
        <f>'Besoins structurels'!I137</f>
        <v>0</v>
      </c>
      <c r="H137" s="387">
        <f>'Besoins structurels'!N137</f>
        <v>0</v>
      </c>
      <c r="I137" s="387">
        <f>'Besoins structurels'!V137</f>
        <v>0</v>
      </c>
      <c r="J137" s="389">
        <f t="shared" ref="J137:J200" si="11">SUM(G137:I137)</f>
        <v>0</v>
      </c>
      <c r="K137" s="387">
        <f>'Charges des villes'!N137</f>
        <v>904146.35120823991</v>
      </c>
      <c r="L137" s="387">
        <f>'Charges des villes'!U137</f>
        <v>-173435.82375551626</v>
      </c>
      <c r="M137" s="378">
        <f t="shared" ref="M137:M200" si="12">SUM(K137:L137)</f>
        <v>730710.52745272359</v>
      </c>
      <c r="N137" s="388">
        <f>-VLOOKUP(A137,Paramètres!$B$23:$C$322,2,FALSE)*$N$5</f>
        <v>0</v>
      </c>
      <c r="O137" s="408"/>
      <c r="P137" s="639">
        <f t="shared" ref="P137:P200" si="13">F137+J137+M137+N137</f>
        <v>922875.23698687158</v>
      </c>
      <c r="Q137" s="640"/>
      <c r="R137" s="640"/>
      <c r="S137" s="641"/>
      <c r="T137" s="388">
        <f>PCS!D137</f>
        <v>2955798.3757433547</v>
      </c>
      <c r="U137" s="379">
        <f>Police!U137</f>
        <v>496199.50670182495</v>
      </c>
      <c r="V137" s="431">
        <f t="shared" ref="V137:V200" si="14">P137+T137+U137</f>
        <v>4374873.1194320517</v>
      </c>
      <c r="W137" s="229"/>
      <c r="X137" s="229"/>
      <c r="Y137" s="229"/>
      <c r="Z137" s="99"/>
    </row>
    <row r="138" spans="1:26" x14ac:dyDescent="0.25">
      <c r="A138" s="208">
        <f>Données!A138</f>
        <v>5634</v>
      </c>
      <c r="B138" s="209" t="str">
        <f>Données!B138</f>
        <v>Echichens</v>
      </c>
      <c r="C138" s="387">
        <f>Ressources!H138</f>
        <v>683437.23065605201</v>
      </c>
      <c r="D138" s="387">
        <f>Ressources!L138</f>
        <v>0</v>
      </c>
      <c r="E138" s="430">
        <f>Ressources!T138</f>
        <v>-114983.55168831593</v>
      </c>
      <c r="F138" s="388">
        <f t="shared" si="10"/>
        <v>568453.67896773608</v>
      </c>
      <c r="G138" s="387">
        <f>'Besoins structurels'!I138</f>
        <v>0</v>
      </c>
      <c r="H138" s="387">
        <f>'Besoins structurels'!N138</f>
        <v>0</v>
      </c>
      <c r="I138" s="387">
        <f>'Besoins structurels'!V138</f>
        <v>-14208</v>
      </c>
      <c r="J138" s="389">
        <f t="shared" si="11"/>
        <v>-14208</v>
      </c>
      <c r="K138" s="387">
        <f>'Charges des villes'!N138</f>
        <v>889020.84748465463</v>
      </c>
      <c r="L138" s="387">
        <f>'Charges des villes'!U138</f>
        <v>72969.251955309301</v>
      </c>
      <c r="M138" s="378">
        <f t="shared" si="12"/>
        <v>961990.09943996393</v>
      </c>
      <c r="N138" s="388">
        <f>-VLOOKUP(A138,Paramètres!$B$23:$C$322,2,FALSE)*$N$5</f>
        <v>0</v>
      </c>
      <c r="O138" s="408"/>
      <c r="P138" s="639">
        <f t="shared" si="13"/>
        <v>1516235.7784076999</v>
      </c>
      <c r="Q138" s="640"/>
      <c r="R138" s="640"/>
      <c r="S138" s="641"/>
      <c r="T138" s="388">
        <f>PCS!D138</f>
        <v>3166364.5716185472</v>
      </c>
      <c r="U138" s="379">
        <f>Police!U138</f>
        <v>536018.65165040432</v>
      </c>
      <c r="V138" s="431">
        <f t="shared" si="14"/>
        <v>5218619.0016766516</v>
      </c>
      <c r="W138" s="229"/>
      <c r="X138" s="229"/>
      <c r="Y138" s="229"/>
      <c r="Z138" s="99"/>
    </row>
    <row r="139" spans="1:26" x14ac:dyDescent="0.25">
      <c r="A139" s="208">
        <f>Données!A139</f>
        <v>5635</v>
      </c>
      <c r="B139" s="209" t="str">
        <f>Données!B139</f>
        <v>Ecublens</v>
      </c>
      <c r="C139" s="387">
        <f>Ressources!H139</f>
        <v>-6688234.549288542</v>
      </c>
      <c r="D139" s="387">
        <f>Ressources!L139</f>
        <v>0</v>
      </c>
      <c r="E139" s="430">
        <f>Ressources!T139</f>
        <v>-181375.46091151005</v>
      </c>
      <c r="F139" s="388">
        <f t="shared" si="10"/>
        <v>-6869610.0102000516</v>
      </c>
      <c r="G139" s="387">
        <f>'Besoins structurels'!I139</f>
        <v>0</v>
      </c>
      <c r="H139" s="387">
        <f>'Besoins structurels'!N139</f>
        <v>0</v>
      </c>
      <c r="I139" s="387">
        <f>'Besoins structurels'!V139</f>
        <v>0</v>
      </c>
      <c r="J139" s="389">
        <f t="shared" si="11"/>
        <v>0</v>
      </c>
      <c r="K139" s="387">
        <f>'Charges des villes'!N139</f>
        <v>-384651.79029053636</v>
      </c>
      <c r="L139" s="387">
        <f>'Charges des villes'!U139</f>
        <v>-1205981.3410841476</v>
      </c>
      <c r="M139" s="378">
        <f t="shared" si="12"/>
        <v>-1590633.1313746839</v>
      </c>
      <c r="N139" s="388">
        <f>-VLOOKUP(A139,Paramètres!$B$23:$C$322,2,FALSE)*$N$5</f>
        <v>0</v>
      </c>
      <c r="O139" s="408"/>
      <c r="P139" s="639">
        <f t="shared" si="13"/>
        <v>-8460243.1415747348</v>
      </c>
      <c r="Q139" s="640"/>
      <c r="R139" s="640"/>
      <c r="S139" s="641"/>
      <c r="T139" s="388">
        <f>PCS!D139</f>
        <v>13176130.509180848</v>
      </c>
      <c r="U139" s="379">
        <f>Police!U139</f>
        <v>412869.46678611368</v>
      </c>
      <c r="V139" s="431">
        <f t="shared" si="14"/>
        <v>5128756.8343922263</v>
      </c>
      <c r="W139" s="229"/>
      <c r="X139" s="229"/>
      <c r="Y139" s="229"/>
      <c r="Z139" s="99"/>
    </row>
    <row r="140" spans="1:26" x14ac:dyDescent="0.25">
      <c r="A140" s="208">
        <f>Données!A140</f>
        <v>5636</v>
      </c>
      <c r="B140" s="209" t="str">
        <f>Données!B140</f>
        <v>Etoy</v>
      </c>
      <c r="C140" s="387">
        <f>Ressources!H140</f>
        <v>3449453.0608058814</v>
      </c>
      <c r="D140" s="387">
        <f>Ressources!L140</f>
        <v>0</v>
      </c>
      <c r="E140" s="430">
        <f>Ressources!T140</f>
        <v>-244050.84862882074</v>
      </c>
      <c r="F140" s="388">
        <f t="shared" si="10"/>
        <v>3205402.2121770605</v>
      </c>
      <c r="G140" s="387">
        <f>'Besoins structurels'!I140</f>
        <v>0</v>
      </c>
      <c r="H140" s="387">
        <f>'Besoins structurels'!N140</f>
        <v>0</v>
      </c>
      <c r="I140" s="387">
        <f>'Besoins structurels'!V140</f>
        <v>0</v>
      </c>
      <c r="J140" s="389">
        <f t="shared" si="11"/>
        <v>0</v>
      </c>
      <c r="K140" s="387">
        <f>'Charges des villes'!N140</f>
        <v>896890.29909943999</v>
      </c>
      <c r="L140" s="387">
        <f>'Charges des villes'!U140</f>
        <v>299990.20841583295</v>
      </c>
      <c r="M140" s="378">
        <f t="shared" si="12"/>
        <v>1196880.5075152731</v>
      </c>
      <c r="N140" s="388">
        <f>-VLOOKUP(A140,Paramètres!$B$23:$C$322,2,FALSE)*$N$5</f>
        <v>0</v>
      </c>
      <c r="O140" s="408"/>
      <c r="P140" s="639">
        <f t="shared" si="13"/>
        <v>4402282.7196923336</v>
      </c>
      <c r="Q140" s="640"/>
      <c r="R140" s="640"/>
      <c r="S140" s="641"/>
      <c r="T140" s="388">
        <f>PCS!D140</f>
        <v>2918408.1166627132</v>
      </c>
      <c r="U140" s="379">
        <f>Police!U140</f>
        <v>489555.56561535352</v>
      </c>
      <c r="V140" s="431">
        <f t="shared" si="14"/>
        <v>7810246.4019704005</v>
      </c>
      <c r="W140" s="229"/>
      <c r="X140" s="229"/>
      <c r="Y140" s="229"/>
      <c r="Z140" s="99"/>
    </row>
    <row r="141" spans="1:26" x14ac:dyDescent="0.25">
      <c r="A141" s="208">
        <f>Données!A141</f>
        <v>5637</v>
      </c>
      <c r="B141" s="209" t="str">
        <f>Données!B141</f>
        <v>Lavigny</v>
      </c>
      <c r="C141" s="387">
        <f>Ressources!H141</f>
        <v>-900196.5840446566</v>
      </c>
      <c r="D141" s="387">
        <f>Ressources!L141</f>
        <v>0</v>
      </c>
      <c r="E141" s="430">
        <f>Ressources!T141</f>
        <v>3169.8904545843543</v>
      </c>
      <c r="F141" s="388">
        <f t="shared" si="10"/>
        <v>-897026.69359007222</v>
      </c>
      <c r="G141" s="387">
        <f>'Besoins structurels'!I141</f>
        <v>0</v>
      </c>
      <c r="H141" s="387">
        <f>'Besoins structurels'!N141</f>
        <v>0</v>
      </c>
      <c r="I141" s="387">
        <f>'Besoins structurels'!V141</f>
        <v>0</v>
      </c>
      <c r="J141" s="389">
        <f t="shared" si="11"/>
        <v>0</v>
      </c>
      <c r="K141" s="387">
        <f>'Charges des villes'!N141</f>
        <v>483144.76417815604</v>
      </c>
      <c r="L141" s="387">
        <f>'Charges des villes'!U141</f>
        <v>111257.32611511</v>
      </c>
      <c r="M141" s="378">
        <f t="shared" si="12"/>
        <v>594402.090293266</v>
      </c>
      <c r="N141" s="388">
        <f>-VLOOKUP(A141,Paramètres!$B$23:$C$322,2,FALSE)*$N$5</f>
        <v>-400</v>
      </c>
      <c r="O141" s="408"/>
      <c r="P141" s="639">
        <f t="shared" si="13"/>
        <v>-303024.60329680622</v>
      </c>
      <c r="Q141" s="640"/>
      <c r="R141" s="640"/>
      <c r="S141" s="641"/>
      <c r="T141" s="388">
        <f>PCS!D141</f>
        <v>1082349.6049659422</v>
      </c>
      <c r="U141" s="379">
        <f>Police!U141</f>
        <v>165768.4528448846</v>
      </c>
      <c r="V141" s="431">
        <f t="shared" si="14"/>
        <v>945093.45451402059</v>
      </c>
      <c r="W141" s="229"/>
      <c r="X141" s="229"/>
      <c r="Y141" s="229"/>
      <c r="Z141" s="99"/>
    </row>
    <row r="142" spans="1:26" x14ac:dyDescent="0.25">
      <c r="A142" s="208">
        <f>Données!A142</f>
        <v>5638</v>
      </c>
      <c r="B142" s="209" t="str">
        <f>Données!B142</f>
        <v>Lonay</v>
      </c>
      <c r="C142" s="387">
        <f>Ressources!H142</f>
        <v>949983.00785291404</v>
      </c>
      <c r="D142" s="387">
        <f>Ressources!L142</f>
        <v>0</v>
      </c>
      <c r="E142" s="430">
        <f>Ressources!T142</f>
        <v>1486346.6932476172</v>
      </c>
      <c r="F142" s="388">
        <f t="shared" si="10"/>
        <v>2436329.701100531</v>
      </c>
      <c r="G142" s="387">
        <f>'Besoins structurels'!I142</f>
        <v>0</v>
      </c>
      <c r="H142" s="387">
        <f>'Besoins structurels'!N142</f>
        <v>0</v>
      </c>
      <c r="I142" s="387">
        <f>'Besoins structurels'!V142</f>
        <v>0</v>
      </c>
      <c r="J142" s="389">
        <f t="shared" si="11"/>
        <v>0</v>
      </c>
      <c r="K142" s="387">
        <f>'Charges des villes'!N142</f>
        <v>845227.53937990125</v>
      </c>
      <c r="L142" s="387">
        <f>'Charges des villes'!U142</f>
        <v>-232347.82416629867</v>
      </c>
      <c r="M142" s="378">
        <f t="shared" si="12"/>
        <v>612879.71521360264</v>
      </c>
      <c r="N142" s="388">
        <f>-VLOOKUP(A142,Paramètres!$B$23:$C$322,2,FALSE)*$N$5</f>
        <v>0</v>
      </c>
      <c r="O142" s="408"/>
      <c r="P142" s="639">
        <f t="shared" si="13"/>
        <v>3049209.4163141334</v>
      </c>
      <c r="Q142" s="640"/>
      <c r="R142" s="640"/>
      <c r="S142" s="641"/>
      <c r="T142" s="388">
        <f>PCS!D142</f>
        <v>2689146.7912471998</v>
      </c>
      <c r="U142" s="379">
        <f>Police!U142</f>
        <v>449125.55635730457</v>
      </c>
      <c r="V142" s="431">
        <f t="shared" si="14"/>
        <v>6187481.7639186373</v>
      </c>
      <c r="W142" s="229"/>
      <c r="X142" s="229"/>
      <c r="Y142" s="229"/>
      <c r="Z142" s="99"/>
    </row>
    <row r="143" spans="1:26" x14ac:dyDescent="0.25">
      <c r="A143" s="208">
        <f>Données!A143</f>
        <v>5639</v>
      </c>
      <c r="B143" s="209" t="str">
        <f>Données!B143</f>
        <v>Lully</v>
      </c>
      <c r="C143" s="387">
        <f>Ressources!H143</f>
        <v>756411.83883071109</v>
      </c>
      <c r="D143" s="387">
        <f>Ressources!L143</f>
        <v>0</v>
      </c>
      <c r="E143" s="430">
        <f>Ressources!T143</f>
        <v>100054.56387358333</v>
      </c>
      <c r="F143" s="388">
        <f t="shared" si="10"/>
        <v>856466.40270429442</v>
      </c>
      <c r="G143" s="387">
        <f>'Besoins structurels'!I143</f>
        <v>0</v>
      </c>
      <c r="H143" s="387">
        <f>'Besoins structurels'!N143</f>
        <v>0</v>
      </c>
      <c r="I143" s="387">
        <f>'Besoins structurels'!V143</f>
        <v>-18406</v>
      </c>
      <c r="J143" s="389">
        <f t="shared" si="11"/>
        <v>-18406</v>
      </c>
      <c r="K143" s="387">
        <f>'Charges des villes'!N143</f>
        <v>386294.45716885984</v>
      </c>
      <c r="L143" s="387">
        <f>'Charges des villes'!U143</f>
        <v>91.600737997126998</v>
      </c>
      <c r="M143" s="378">
        <f t="shared" si="12"/>
        <v>386386.05790685699</v>
      </c>
      <c r="N143" s="388">
        <f>-VLOOKUP(A143,Paramètres!$B$23:$C$322,2,FALSE)*$N$5</f>
        <v>0</v>
      </c>
      <c r="O143" s="408"/>
      <c r="P143" s="639">
        <f t="shared" si="13"/>
        <v>1224446.4606111515</v>
      </c>
      <c r="Q143" s="640"/>
      <c r="R143" s="640"/>
      <c r="S143" s="641"/>
      <c r="T143" s="388">
        <f>PCS!D143</f>
        <v>824553.60814678133</v>
      </c>
      <c r="U143" s="379">
        <f>Police!U143</f>
        <v>124373.04169935882</v>
      </c>
      <c r="V143" s="431">
        <f t="shared" si="14"/>
        <v>2173373.1104572918</v>
      </c>
      <c r="W143" s="229"/>
      <c r="X143" s="229"/>
      <c r="Y143" s="229"/>
      <c r="Z143" s="99"/>
    </row>
    <row r="144" spans="1:26" x14ac:dyDescent="0.25">
      <c r="A144" s="208">
        <f>Données!A144</f>
        <v>5640</v>
      </c>
      <c r="B144" s="209" t="str">
        <f>Données!B144</f>
        <v>Lussy-sur-Morges</v>
      </c>
      <c r="C144" s="387">
        <f>Ressources!H144</f>
        <v>1476386.2937707168</v>
      </c>
      <c r="D144" s="387">
        <f>Ressources!L144</f>
        <v>0</v>
      </c>
      <c r="E144" s="430">
        <f>Ressources!T144</f>
        <v>-56392.681348321683</v>
      </c>
      <c r="F144" s="388">
        <f t="shared" si="10"/>
        <v>1419993.612422395</v>
      </c>
      <c r="G144" s="387">
        <f>'Besoins structurels'!I144</f>
        <v>0</v>
      </c>
      <c r="H144" s="387">
        <f>'Besoins structurels'!N144</f>
        <v>0</v>
      </c>
      <c r="I144" s="387">
        <f>'Besoins structurels'!V144</f>
        <v>-79373</v>
      </c>
      <c r="J144" s="389">
        <f t="shared" si="11"/>
        <v>-79373</v>
      </c>
      <c r="K144" s="387">
        <f>'Charges des villes'!N144</f>
        <v>331438.80036325799</v>
      </c>
      <c r="L144" s="387">
        <f>'Charges des villes'!U144</f>
        <v>-33214.618994956618</v>
      </c>
      <c r="M144" s="378">
        <f t="shared" si="12"/>
        <v>298224.18136830139</v>
      </c>
      <c r="N144" s="388">
        <f>-VLOOKUP(A144,Paramètres!$B$23:$C$322,2,FALSE)*$N$5</f>
        <v>0</v>
      </c>
      <c r="O144" s="408"/>
      <c r="P144" s="639">
        <f t="shared" si="13"/>
        <v>1638844.7937906964</v>
      </c>
      <c r="Q144" s="640"/>
      <c r="R144" s="640"/>
      <c r="S144" s="641"/>
      <c r="T144" s="388">
        <f>PCS!D144</f>
        <v>707463.0599731931</v>
      </c>
      <c r="U144" s="379">
        <f>Police!U144</f>
        <v>22168.108925339089</v>
      </c>
      <c r="V144" s="431">
        <f t="shared" si="14"/>
        <v>2368475.9626892288</v>
      </c>
      <c r="W144" s="229"/>
      <c r="X144" s="229"/>
      <c r="Y144" s="229"/>
      <c r="Z144" s="99"/>
    </row>
    <row r="145" spans="1:26" x14ac:dyDescent="0.25">
      <c r="A145" s="208">
        <f>Données!A145</f>
        <v>5642</v>
      </c>
      <c r="B145" s="209" t="str">
        <f>Données!B145</f>
        <v>Morges</v>
      </c>
      <c r="C145" s="387">
        <f>Ressources!H145</f>
        <v>9968883.7883244809</v>
      </c>
      <c r="D145" s="387">
        <f>Ressources!L145</f>
        <v>0</v>
      </c>
      <c r="E145" s="430">
        <f>Ressources!T145</f>
        <v>1182372.6956390557</v>
      </c>
      <c r="F145" s="388">
        <f t="shared" si="10"/>
        <v>11151256.483963536</v>
      </c>
      <c r="G145" s="387">
        <f>'Besoins structurels'!I145</f>
        <v>0</v>
      </c>
      <c r="H145" s="387">
        <f>'Besoins structurels'!N145</f>
        <v>0</v>
      </c>
      <c r="I145" s="387">
        <f>'Besoins structurels'!V145</f>
        <v>0</v>
      </c>
      <c r="J145" s="389">
        <f t="shared" si="11"/>
        <v>0</v>
      </c>
      <c r="K145" s="387">
        <f>'Charges des villes'!N145</f>
        <v>-2558762.1374987792</v>
      </c>
      <c r="L145" s="387">
        <f>'Charges des villes'!U145</f>
        <v>-814030.11347796489</v>
      </c>
      <c r="M145" s="378">
        <f t="shared" si="12"/>
        <v>-3372792.2509767441</v>
      </c>
      <c r="N145" s="388">
        <f>-VLOOKUP(A145,Paramètres!$B$23:$C$322,2,FALSE)*$N$5</f>
        <v>0</v>
      </c>
      <c r="O145" s="408"/>
      <c r="P145" s="639">
        <f t="shared" si="13"/>
        <v>7778464.232986792</v>
      </c>
      <c r="Q145" s="640"/>
      <c r="R145" s="640"/>
      <c r="S145" s="641"/>
      <c r="T145" s="388">
        <f>PCS!D145</f>
        <v>17430748.410883334</v>
      </c>
      <c r="U145" s="379">
        <f>Police!U145</f>
        <v>546186.4389601975</v>
      </c>
      <c r="V145" s="431">
        <f t="shared" si="14"/>
        <v>25755399.082830325</v>
      </c>
      <c r="W145" s="229"/>
      <c r="X145" s="229"/>
      <c r="Y145" s="229"/>
      <c r="Z145" s="99"/>
    </row>
    <row r="146" spans="1:26" x14ac:dyDescent="0.25">
      <c r="A146" s="208">
        <f>Données!A146</f>
        <v>5643</v>
      </c>
      <c r="B146" s="209" t="str">
        <f>Données!B146</f>
        <v>Préverenges</v>
      </c>
      <c r="C146" s="387">
        <f>Ressources!H146</f>
        <v>-394126.08701015142</v>
      </c>
      <c r="D146" s="387">
        <f>Ressources!L146</f>
        <v>0</v>
      </c>
      <c r="E146" s="430">
        <f>Ressources!T146</f>
        <v>317124.32693365752</v>
      </c>
      <c r="F146" s="388">
        <f t="shared" si="10"/>
        <v>-77001.760076493898</v>
      </c>
      <c r="G146" s="387">
        <f>'Besoins structurels'!I146</f>
        <v>0</v>
      </c>
      <c r="H146" s="387">
        <f>'Besoins structurels'!N146</f>
        <v>0</v>
      </c>
      <c r="I146" s="387">
        <f>'Besoins structurels'!V146</f>
        <v>0</v>
      </c>
      <c r="J146" s="389">
        <f t="shared" si="11"/>
        <v>0</v>
      </c>
      <c r="K146" s="387">
        <f>'Charges des villes'!N146</f>
        <v>743773.60378387058</v>
      </c>
      <c r="L146" s="387">
        <f>'Charges des villes'!U146</f>
        <v>13812.297378409829</v>
      </c>
      <c r="M146" s="378">
        <f t="shared" si="12"/>
        <v>757585.90116228047</v>
      </c>
      <c r="N146" s="388">
        <f>-VLOOKUP(A146,Paramètres!$B$23:$C$322,2,FALSE)*$N$5</f>
        <v>0</v>
      </c>
      <c r="O146" s="408"/>
      <c r="P146" s="639">
        <f t="shared" si="13"/>
        <v>680584.14108578651</v>
      </c>
      <c r="Q146" s="640"/>
      <c r="R146" s="640"/>
      <c r="S146" s="641"/>
      <c r="T146" s="388">
        <f>PCS!D146</f>
        <v>5188390.4245321937</v>
      </c>
      <c r="U146" s="379">
        <f>Police!U146</f>
        <v>162576.40940655497</v>
      </c>
      <c r="V146" s="431">
        <f t="shared" si="14"/>
        <v>6031550.9750245353</v>
      </c>
      <c r="W146" s="229"/>
      <c r="X146" s="229"/>
      <c r="Y146" s="229"/>
      <c r="Z146" s="99"/>
    </row>
    <row r="147" spans="1:26" x14ac:dyDescent="0.25">
      <c r="A147" s="208">
        <f>Données!A147</f>
        <v>5645</v>
      </c>
      <c r="B147" s="209" t="str">
        <f>Données!B147</f>
        <v>Romanel-sur-Morges</v>
      </c>
      <c r="C147" s="387">
        <f>Ressources!H147</f>
        <v>280042.85554199736</v>
      </c>
      <c r="D147" s="387">
        <f>Ressources!L147</f>
        <v>0</v>
      </c>
      <c r="E147" s="430">
        <f>Ressources!T147</f>
        <v>-12099.804321471558</v>
      </c>
      <c r="F147" s="388">
        <f t="shared" si="10"/>
        <v>267943.05122052581</v>
      </c>
      <c r="G147" s="387">
        <f>'Besoins structurels'!I147</f>
        <v>0</v>
      </c>
      <c r="H147" s="387">
        <f>'Besoins structurels'!N147</f>
        <v>0</v>
      </c>
      <c r="I147" s="387">
        <f>'Besoins structurels'!V147</f>
        <v>0</v>
      </c>
      <c r="J147" s="389">
        <f t="shared" si="11"/>
        <v>0</v>
      </c>
      <c r="K147" s="387">
        <f>'Charges des villes'!N147</f>
        <v>209281.24529195987</v>
      </c>
      <c r="L147" s="387">
        <f>'Charges des villes'!U147</f>
        <v>45918.93277841813</v>
      </c>
      <c r="M147" s="378">
        <f t="shared" si="12"/>
        <v>255200.178070378</v>
      </c>
      <c r="N147" s="388">
        <f>-VLOOKUP(A147,Paramètres!$B$23:$C$322,2,FALSE)*$N$5</f>
        <v>0</v>
      </c>
      <c r="O147" s="408"/>
      <c r="P147" s="639">
        <f t="shared" si="13"/>
        <v>523143.22929090378</v>
      </c>
      <c r="Q147" s="640"/>
      <c r="R147" s="640"/>
      <c r="S147" s="641"/>
      <c r="T147" s="388">
        <f>PCS!D147</f>
        <v>446715.20059503429</v>
      </c>
      <c r="U147" s="379">
        <f>Police!U147</f>
        <v>67381.098963614437</v>
      </c>
      <c r="V147" s="431">
        <f t="shared" si="14"/>
        <v>1037239.5288495525</v>
      </c>
      <c r="W147" s="229"/>
      <c r="X147" s="229"/>
      <c r="Y147" s="229"/>
      <c r="Z147" s="99"/>
    </row>
    <row r="148" spans="1:26" x14ac:dyDescent="0.25">
      <c r="A148" s="208">
        <f>Données!A148</f>
        <v>5646</v>
      </c>
      <c r="B148" s="209" t="str">
        <f>Données!B148</f>
        <v>Saint-Prex</v>
      </c>
      <c r="C148" s="387">
        <f>Ressources!H148</f>
        <v>9194192.6344949808</v>
      </c>
      <c r="D148" s="387">
        <f>Ressources!L148</f>
        <v>0</v>
      </c>
      <c r="E148" s="430">
        <f>Ressources!T148</f>
        <v>-159128.12195681734</v>
      </c>
      <c r="F148" s="388">
        <f t="shared" si="10"/>
        <v>9035064.512538163</v>
      </c>
      <c r="G148" s="387">
        <f>'Besoins structurels'!I148</f>
        <v>0</v>
      </c>
      <c r="H148" s="387">
        <f>'Besoins structurels'!N148</f>
        <v>0</v>
      </c>
      <c r="I148" s="387">
        <f>'Besoins structurels'!V148</f>
        <v>0</v>
      </c>
      <c r="J148" s="389">
        <f t="shared" si="11"/>
        <v>0</v>
      </c>
      <c r="K148" s="387">
        <f>'Charges des villes'!N148</f>
        <v>701719.04903838737</v>
      </c>
      <c r="L148" s="387">
        <f>'Charges des villes'!U148</f>
        <v>593507.2633122413</v>
      </c>
      <c r="M148" s="378">
        <f t="shared" si="12"/>
        <v>1295226.3123506287</v>
      </c>
      <c r="N148" s="388">
        <f>-VLOOKUP(A148,Paramètres!$B$23:$C$322,2,FALSE)*$N$5</f>
        <v>0</v>
      </c>
      <c r="O148" s="408"/>
      <c r="P148" s="639">
        <f t="shared" si="13"/>
        <v>10330290.824888792</v>
      </c>
      <c r="Q148" s="640"/>
      <c r="R148" s="640"/>
      <c r="S148" s="641"/>
      <c r="T148" s="388">
        <f>PCS!D148</f>
        <v>5773843.1654001353</v>
      </c>
      <c r="U148" s="379">
        <f>Police!U148</f>
        <v>180921.36741848369</v>
      </c>
      <c r="V148" s="431">
        <f t="shared" si="14"/>
        <v>16285055.357707411</v>
      </c>
      <c r="W148" s="229"/>
      <c r="X148" s="229"/>
      <c r="Y148" s="229"/>
      <c r="Z148" s="99"/>
    </row>
    <row r="149" spans="1:26" x14ac:dyDescent="0.25">
      <c r="A149" s="208">
        <f>Données!A149</f>
        <v>5648</v>
      </c>
      <c r="B149" s="209" t="str">
        <f>Données!B149</f>
        <v>Saint-Sulpice</v>
      </c>
      <c r="C149" s="387">
        <f>Ressources!H149</f>
        <v>8707092.8124313708</v>
      </c>
      <c r="D149" s="387">
        <f>Ressources!L149</f>
        <v>0</v>
      </c>
      <c r="E149" s="430">
        <f>Ressources!T149</f>
        <v>16709.213103901478</v>
      </c>
      <c r="F149" s="388">
        <f t="shared" si="10"/>
        <v>8723802.0255352724</v>
      </c>
      <c r="G149" s="387">
        <f>'Besoins structurels'!I149</f>
        <v>0</v>
      </c>
      <c r="H149" s="387">
        <f>'Besoins structurels'!N149</f>
        <v>0</v>
      </c>
      <c r="I149" s="387">
        <f>'Besoins structurels'!V149</f>
        <v>0</v>
      </c>
      <c r="J149" s="389">
        <f t="shared" si="11"/>
        <v>0</v>
      </c>
      <c r="K149" s="387">
        <f>'Charges des villes'!N149</f>
        <v>751972.47496114112</v>
      </c>
      <c r="L149" s="387">
        <f>'Charges des villes'!U149</f>
        <v>-565859.08856761619</v>
      </c>
      <c r="M149" s="378">
        <f t="shared" si="12"/>
        <v>186113.38639352494</v>
      </c>
      <c r="N149" s="388">
        <f>-VLOOKUP(A149,Paramètres!$B$23:$C$322,2,FALSE)*$N$5</f>
        <v>0</v>
      </c>
      <c r="O149" s="408"/>
      <c r="P149" s="639">
        <f t="shared" si="13"/>
        <v>8909915.4119287971</v>
      </c>
      <c r="Q149" s="640"/>
      <c r="R149" s="640"/>
      <c r="S149" s="641"/>
      <c r="T149" s="388">
        <f>PCS!D149</f>
        <v>5074251.7389176032</v>
      </c>
      <c r="U149" s="379">
        <f>Police!U149</f>
        <v>158999.91339078397</v>
      </c>
      <c r="V149" s="431">
        <f t="shared" si="14"/>
        <v>14143167.064237183</v>
      </c>
      <c r="W149" s="229"/>
      <c r="X149" s="229"/>
      <c r="Y149" s="229"/>
      <c r="Z149" s="99"/>
    </row>
    <row r="150" spans="1:26" x14ac:dyDescent="0.25">
      <c r="A150" s="208">
        <f>Données!A150</f>
        <v>5649</v>
      </c>
      <c r="B150" s="209" t="str">
        <f>Données!B150</f>
        <v>Tolochenaz</v>
      </c>
      <c r="C150" s="387">
        <f>Ressources!H150</f>
        <v>16736924.007234054</v>
      </c>
      <c r="D150" s="387">
        <f>Ressources!L150</f>
        <v>0</v>
      </c>
      <c r="E150" s="430">
        <f>Ressources!T150</f>
        <v>-17875.397528030793</v>
      </c>
      <c r="F150" s="388">
        <f t="shared" si="10"/>
        <v>16719048.609706024</v>
      </c>
      <c r="G150" s="387">
        <f>'Besoins structurels'!I150</f>
        <v>0</v>
      </c>
      <c r="H150" s="387">
        <f>'Besoins structurels'!N150</f>
        <v>0</v>
      </c>
      <c r="I150" s="387">
        <f>'Besoins structurels'!V150</f>
        <v>0</v>
      </c>
      <c r="J150" s="389">
        <f t="shared" si="11"/>
        <v>0</v>
      </c>
      <c r="K150" s="387">
        <f>'Charges des villes'!N150</f>
        <v>668066.40197255625</v>
      </c>
      <c r="L150" s="387">
        <f>'Charges des villes'!U150</f>
        <v>-200366.54851636715</v>
      </c>
      <c r="M150" s="378">
        <f t="shared" si="12"/>
        <v>467699.8534561891</v>
      </c>
      <c r="N150" s="388">
        <f>-VLOOKUP(A150,Paramètres!$B$23:$C$322,2,FALSE)*$N$5</f>
        <v>0</v>
      </c>
      <c r="O150" s="408"/>
      <c r="P150" s="639">
        <f t="shared" si="13"/>
        <v>17186748.463162214</v>
      </c>
      <c r="Q150" s="640"/>
      <c r="R150" s="640"/>
      <c r="S150" s="641"/>
      <c r="T150" s="388">
        <f>PCS!D150</f>
        <v>1902967.3963673927</v>
      </c>
      <c r="U150" s="379">
        <f>Police!U150</f>
        <v>59628.821504319611</v>
      </c>
      <c r="V150" s="431">
        <f t="shared" si="14"/>
        <v>19149344.681033928</v>
      </c>
      <c r="W150" s="229"/>
      <c r="X150" s="229"/>
      <c r="Y150" s="229"/>
      <c r="Z150" s="99"/>
    </row>
    <row r="151" spans="1:26" x14ac:dyDescent="0.25">
      <c r="A151" s="208">
        <f>Données!A151</f>
        <v>5650</v>
      </c>
      <c r="B151" s="209" t="str">
        <f>Données!B151</f>
        <v>Vaux-sur-Morges</v>
      </c>
      <c r="C151" s="387">
        <f>Ressources!H151</f>
        <v>5791084.036636808</v>
      </c>
      <c r="D151" s="387">
        <f>Ressources!L151</f>
        <v>0</v>
      </c>
      <c r="E151" s="430">
        <f>Ressources!T151</f>
        <v>-18393.894150819902</v>
      </c>
      <c r="F151" s="388">
        <f t="shared" si="10"/>
        <v>5772690.1424859883</v>
      </c>
      <c r="G151" s="387">
        <f>'Besoins structurels'!I151</f>
        <v>-6965</v>
      </c>
      <c r="H151" s="387">
        <f>'Besoins structurels'!N151</f>
        <v>0</v>
      </c>
      <c r="I151" s="387">
        <f>'Besoins structurels'!V151</f>
        <v>0</v>
      </c>
      <c r="J151" s="389">
        <f t="shared" si="11"/>
        <v>-6965</v>
      </c>
      <c r="K151" s="387">
        <f>'Charges des villes'!N151</f>
        <v>85279.802596943991</v>
      </c>
      <c r="L151" s="387">
        <f>'Charges des villes'!U151</f>
        <v>18711.459392086683</v>
      </c>
      <c r="M151" s="378">
        <f t="shared" si="12"/>
        <v>103991.26198903067</v>
      </c>
      <c r="N151" s="388">
        <f>-VLOOKUP(A151,Paramètres!$B$23:$C$322,2,FALSE)*$N$5</f>
        <v>-172200</v>
      </c>
      <c r="O151" s="408"/>
      <c r="P151" s="639">
        <f t="shared" si="13"/>
        <v>5697516.4044750193</v>
      </c>
      <c r="Q151" s="640"/>
      <c r="R151" s="640"/>
      <c r="S151" s="641"/>
      <c r="T151" s="388">
        <f>PCS!D151</f>
        <v>182031.52447154481</v>
      </c>
      <c r="U151" s="379">
        <f>Police!U151</f>
        <v>27457.055745085181</v>
      </c>
      <c r="V151" s="431">
        <f t="shared" si="14"/>
        <v>5907004.9846916487</v>
      </c>
      <c r="W151" s="229"/>
      <c r="X151" s="229"/>
      <c r="Y151" s="229"/>
      <c r="Z151" s="99"/>
    </row>
    <row r="152" spans="1:26" x14ac:dyDescent="0.25">
      <c r="A152" s="208">
        <f>Données!A152</f>
        <v>5651</v>
      </c>
      <c r="B152" s="209" t="str">
        <f>Données!B152</f>
        <v>Villars-Sainte-Croix</v>
      </c>
      <c r="C152" s="387">
        <f>Ressources!H152</f>
        <v>787602.38990002952</v>
      </c>
      <c r="D152" s="387">
        <f>Ressources!L152</f>
        <v>0</v>
      </c>
      <c r="E152" s="430">
        <f>Ressources!T152</f>
        <v>29363.283167389134</v>
      </c>
      <c r="F152" s="388">
        <f t="shared" si="10"/>
        <v>816965.67306741863</v>
      </c>
      <c r="G152" s="387">
        <f>'Besoins structurels'!I152</f>
        <v>0</v>
      </c>
      <c r="H152" s="387">
        <f>'Besoins structurels'!N152</f>
        <v>0</v>
      </c>
      <c r="I152" s="387">
        <f>'Besoins structurels'!V152</f>
        <v>0</v>
      </c>
      <c r="J152" s="389">
        <f t="shared" si="11"/>
        <v>0</v>
      </c>
      <c r="K152" s="387">
        <f>'Charges des villes'!N152</f>
        <v>440228.17016260279</v>
      </c>
      <c r="L152" s="387">
        <f>'Charges des villes'!U152</f>
        <v>-114464.98832733632</v>
      </c>
      <c r="M152" s="378">
        <f t="shared" si="12"/>
        <v>325763.18183526647</v>
      </c>
      <c r="N152" s="388">
        <f>-VLOOKUP(A152,Paramètres!$B$23:$C$322,2,FALSE)*$N$5</f>
        <v>0</v>
      </c>
      <c r="O152" s="408"/>
      <c r="P152" s="639">
        <f t="shared" si="13"/>
        <v>1142728.8549026852</v>
      </c>
      <c r="Q152" s="640"/>
      <c r="R152" s="640"/>
      <c r="S152" s="641"/>
      <c r="T152" s="388">
        <f>PCS!D152</f>
        <v>939676.24794770428</v>
      </c>
      <c r="U152" s="379">
        <f>Police!U152</f>
        <v>29444.428405700739</v>
      </c>
      <c r="V152" s="431">
        <f t="shared" si="14"/>
        <v>2111849.5312560904</v>
      </c>
      <c r="W152" s="229"/>
      <c r="X152" s="229"/>
      <c r="Y152" s="229"/>
      <c r="Z152" s="99"/>
    </row>
    <row r="153" spans="1:26" x14ac:dyDescent="0.25">
      <c r="A153" s="208">
        <f>Données!A153</f>
        <v>5652</v>
      </c>
      <c r="B153" s="209" t="str">
        <f>Données!B153</f>
        <v>Villars-sous-Yens</v>
      </c>
      <c r="C153" s="387">
        <f>Ressources!H153</f>
        <v>-123751.27202544596</v>
      </c>
      <c r="D153" s="387">
        <f>Ressources!L153</f>
        <v>0</v>
      </c>
      <c r="E153" s="430">
        <f>Ressources!T153</f>
        <v>49505.419357872495</v>
      </c>
      <c r="F153" s="388">
        <f t="shared" si="10"/>
        <v>-74245.852667573461</v>
      </c>
      <c r="G153" s="387">
        <f>'Besoins structurels'!I153</f>
        <v>0</v>
      </c>
      <c r="H153" s="387">
        <f>'Besoins structurels'!N153</f>
        <v>0</v>
      </c>
      <c r="I153" s="387">
        <f>'Besoins structurels'!V153</f>
        <v>0</v>
      </c>
      <c r="J153" s="389">
        <f t="shared" si="11"/>
        <v>0</v>
      </c>
      <c r="K153" s="387">
        <f>'Charges des villes'!N153</f>
        <v>277505.08736951504</v>
      </c>
      <c r="L153" s="387">
        <f>'Charges des villes'!U153</f>
        <v>60888.100292087474</v>
      </c>
      <c r="M153" s="378">
        <f t="shared" si="12"/>
        <v>338393.18766160251</v>
      </c>
      <c r="N153" s="388">
        <f>-VLOOKUP(A153,Paramètres!$B$23:$C$322,2,FALSE)*$N$5</f>
        <v>0</v>
      </c>
      <c r="O153" s="408"/>
      <c r="P153" s="639">
        <f t="shared" si="13"/>
        <v>264147.33499402902</v>
      </c>
      <c r="Q153" s="640"/>
      <c r="R153" s="640"/>
      <c r="S153" s="641"/>
      <c r="T153" s="388">
        <f>PCS!D153</f>
        <v>592340.42017227015</v>
      </c>
      <c r="U153" s="379">
        <f>Police!U153</f>
        <v>89346.743559682582</v>
      </c>
      <c r="V153" s="431">
        <f t="shared" si="14"/>
        <v>945834.4987259818</v>
      </c>
      <c r="W153" s="229"/>
      <c r="X153" s="229"/>
      <c r="Y153" s="229"/>
      <c r="Z153" s="99"/>
    </row>
    <row r="154" spans="1:26" x14ac:dyDescent="0.25">
      <c r="A154" s="208">
        <f>Données!A154</f>
        <v>5653</v>
      </c>
      <c r="B154" s="209" t="str">
        <f>Données!B154</f>
        <v>Vufflens-le-Château</v>
      </c>
      <c r="C154" s="387">
        <f>Ressources!H154</f>
        <v>1851191.9026752538</v>
      </c>
      <c r="D154" s="387">
        <f>Ressources!L154</f>
        <v>0</v>
      </c>
      <c r="E154" s="430">
        <f>Ressources!T154</f>
        <v>12734.843873583333</v>
      </c>
      <c r="F154" s="388">
        <f t="shared" si="10"/>
        <v>1863926.7465488371</v>
      </c>
      <c r="G154" s="387">
        <f>'Besoins structurels'!I154</f>
        <v>0</v>
      </c>
      <c r="H154" s="387">
        <f>'Besoins structurels'!N154</f>
        <v>0</v>
      </c>
      <c r="I154" s="387">
        <f>'Besoins structurels'!V154</f>
        <v>0</v>
      </c>
      <c r="J154" s="389">
        <f t="shared" si="11"/>
        <v>0</v>
      </c>
      <c r="K154" s="387">
        <f>'Charges des villes'!N154</f>
        <v>386294.45716885984</v>
      </c>
      <c r="L154" s="387">
        <f>'Charges des villes'!U154</f>
        <v>84757.853894965621</v>
      </c>
      <c r="M154" s="378">
        <f t="shared" si="12"/>
        <v>471052.31106382544</v>
      </c>
      <c r="N154" s="388">
        <f>-VLOOKUP(A154,Paramètres!$B$23:$C$322,2,FALSE)*$N$5</f>
        <v>0</v>
      </c>
      <c r="O154" s="408"/>
      <c r="P154" s="639">
        <f t="shared" si="13"/>
        <v>2334979.0576126627</v>
      </c>
      <c r="Q154" s="640"/>
      <c r="R154" s="640"/>
      <c r="S154" s="641"/>
      <c r="T154" s="388">
        <f>PCS!D154</f>
        <v>824553.60814678133</v>
      </c>
      <c r="U154" s="379">
        <f>Police!U154</f>
        <v>124373.04169935882</v>
      </c>
      <c r="V154" s="431">
        <f t="shared" si="14"/>
        <v>3283905.707458803</v>
      </c>
      <c r="W154" s="229"/>
      <c r="X154" s="229"/>
      <c r="Y154" s="229"/>
      <c r="Z154" s="99"/>
    </row>
    <row r="155" spans="1:26" x14ac:dyDescent="0.25">
      <c r="A155" s="208">
        <f>Données!A155</f>
        <v>5654</v>
      </c>
      <c r="B155" s="209" t="str">
        <f>Données!B155</f>
        <v>Vullierens</v>
      </c>
      <c r="C155" s="387">
        <f>Ressources!H155</f>
        <v>-206707.6221271347</v>
      </c>
      <c r="D155" s="387">
        <f>Ressources!L155</f>
        <v>0</v>
      </c>
      <c r="E155" s="430">
        <f>Ressources!T155</f>
        <v>-44679.56570080707</v>
      </c>
      <c r="F155" s="388">
        <f t="shared" si="10"/>
        <v>-251387.18782794179</v>
      </c>
      <c r="G155" s="387">
        <f>'Besoins structurels'!I155</f>
        <v>-26898</v>
      </c>
      <c r="H155" s="387">
        <f>'Besoins structurels'!N155</f>
        <v>0</v>
      </c>
      <c r="I155" s="387">
        <f>'Besoins structurels'!V155</f>
        <v>-23776</v>
      </c>
      <c r="J155" s="389">
        <f t="shared" si="11"/>
        <v>-50674</v>
      </c>
      <c r="K155" s="387">
        <f>'Charges des villes'!N155</f>
        <v>252612.604449326</v>
      </c>
      <c r="L155" s="387">
        <f>'Charges des villes'!U155</f>
        <v>55426.377010072982</v>
      </c>
      <c r="M155" s="378">
        <f t="shared" si="12"/>
        <v>308038.98145939899</v>
      </c>
      <c r="N155" s="388">
        <f>-VLOOKUP(A155,Paramètres!$B$23:$C$322,2,FALSE)*$N$5</f>
        <v>0</v>
      </c>
      <c r="O155" s="408"/>
      <c r="P155" s="639">
        <f t="shared" si="13"/>
        <v>5977.7936314571998</v>
      </c>
      <c r="Q155" s="640"/>
      <c r="R155" s="640"/>
      <c r="S155" s="641"/>
      <c r="T155" s="388">
        <f>PCS!D155</f>
        <v>539206.8941103057</v>
      </c>
      <c r="U155" s="379">
        <f>Police!U155</f>
        <v>81332.251612468535</v>
      </c>
      <c r="V155" s="431">
        <f t="shared" si="14"/>
        <v>626516.93935423146</v>
      </c>
      <c r="W155" s="229"/>
      <c r="X155" s="229"/>
      <c r="Y155" s="229"/>
      <c r="Z155" s="99"/>
    </row>
    <row r="156" spans="1:26" x14ac:dyDescent="0.25">
      <c r="A156" s="208">
        <f>Données!A156</f>
        <v>5655</v>
      </c>
      <c r="B156" s="209" t="str">
        <f>Données!B156</f>
        <v>Yens</v>
      </c>
      <c r="C156" s="387">
        <f>Ressources!H156</f>
        <v>622030.90272836108</v>
      </c>
      <c r="D156" s="387">
        <f>Ressources!L156</f>
        <v>0</v>
      </c>
      <c r="E156" s="430">
        <f>Ressources!T156</f>
        <v>50481.522002532496</v>
      </c>
      <c r="F156" s="388">
        <f t="shared" si="10"/>
        <v>672512.42473089357</v>
      </c>
      <c r="G156" s="387">
        <f>'Besoins structurels'!I156</f>
        <v>0</v>
      </c>
      <c r="H156" s="387">
        <f>'Besoins structurels'!N156</f>
        <v>0</v>
      </c>
      <c r="I156" s="387">
        <f>'Besoins structurels'!V156</f>
        <v>0</v>
      </c>
      <c r="J156" s="389">
        <f t="shared" si="11"/>
        <v>0</v>
      </c>
      <c r="K156" s="387">
        <f>'Charges des villes'!N156</f>
        <v>572279.65433804679</v>
      </c>
      <c r="L156" s="387">
        <f>'Charges des villes'!U156</f>
        <v>151916.82165899564</v>
      </c>
      <c r="M156" s="378">
        <f t="shared" si="12"/>
        <v>724196.47599704238</v>
      </c>
      <c r="N156" s="388">
        <f>-VLOOKUP(A156,Paramètres!$B$23:$C$322,2,FALSE)*$N$5</f>
        <v>0</v>
      </c>
      <c r="O156" s="408"/>
      <c r="P156" s="639">
        <f t="shared" si="13"/>
        <v>1396708.9007279361</v>
      </c>
      <c r="Q156" s="640"/>
      <c r="R156" s="640"/>
      <c r="S156" s="641"/>
      <c r="T156" s="388">
        <f>PCS!D156</f>
        <v>1477899.1878716773</v>
      </c>
      <c r="U156" s="379">
        <f>Police!U156</f>
        <v>235523.23276649689</v>
      </c>
      <c r="V156" s="431">
        <f t="shared" si="14"/>
        <v>3110131.3213661104</v>
      </c>
      <c r="W156" s="229"/>
      <c r="X156" s="229"/>
      <c r="Y156" s="229"/>
      <c r="Z156" s="99"/>
    </row>
    <row r="157" spans="1:26" x14ac:dyDescent="0.25">
      <c r="A157" s="208">
        <f>Données!A157</f>
        <v>5656</v>
      </c>
      <c r="B157" s="209" t="str">
        <f>Données!B157</f>
        <v>Hautemorges</v>
      </c>
      <c r="C157" s="387">
        <f>Ressources!H157</f>
        <v>-2290809.8603917672</v>
      </c>
      <c r="D157" s="387">
        <f>Ressources!L157</f>
        <v>0</v>
      </c>
      <c r="E157" s="430">
        <f>Ressources!T157</f>
        <v>-420646.1442143076</v>
      </c>
      <c r="F157" s="388">
        <f t="shared" si="10"/>
        <v>-2711456.0046060747</v>
      </c>
      <c r="G157" s="387">
        <f>'Besoins structurels'!I157</f>
        <v>0</v>
      </c>
      <c r="H157" s="387">
        <f>'Besoins structurels'!N157</f>
        <v>0</v>
      </c>
      <c r="I157" s="387">
        <f>'Besoins structurels'!V157</f>
        <v>-26208</v>
      </c>
      <c r="J157" s="389">
        <f t="shared" si="11"/>
        <v>-26208</v>
      </c>
      <c r="K157" s="387">
        <f>'Charges des villes'!N157</f>
        <v>806396.0163964713</v>
      </c>
      <c r="L157" s="387">
        <f>'Charges des villes'!U157</f>
        <v>443714.44515180687</v>
      </c>
      <c r="M157" s="378">
        <f t="shared" si="12"/>
        <v>1250110.4615482781</v>
      </c>
      <c r="N157" s="388">
        <f>-VLOOKUP(A157,Paramètres!$B$23:$C$322,2,FALSE)*$N$5</f>
        <v>-157000</v>
      </c>
      <c r="O157" s="408"/>
      <c r="P157" s="639">
        <f t="shared" si="13"/>
        <v>-1644553.5430577965</v>
      </c>
      <c r="Q157" s="640"/>
      <c r="R157" s="640"/>
      <c r="S157" s="641"/>
      <c r="T157" s="388">
        <f>PCS!D157</f>
        <v>4316607.0154414438</v>
      </c>
      <c r="U157" s="379">
        <f>Police!U157</f>
        <v>753535.38270128903</v>
      </c>
      <c r="V157" s="431">
        <f t="shared" si="14"/>
        <v>3425588.8550849361</v>
      </c>
      <c r="W157" s="229"/>
      <c r="X157" s="229"/>
      <c r="Y157" s="229"/>
      <c r="Z157" s="99"/>
    </row>
    <row r="158" spans="1:26" x14ac:dyDescent="0.25">
      <c r="A158" s="208">
        <f>Données!A158</f>
        <v>5661</v>
      </c>
      <c r="B158" s="209" t="str">
        <f>Données!B158</f>
        <v>Boulens</v>
      </c>
      <c r="C158" s="387">
        <f>Ressources!H158</f>
        <v>-436697.91174278472</v>
      </c>
      <c r="D158" s="387">
        <f>Ressources!L158</f>
        <v>0</v>
      </c>
      <c r="E158" s="430">
        <f>Ressources!T158</f>
        <v>-41823.764229739056</v>
      </c>
      <c r="F158" s="388">
        <f t="shared" si="10"/>
        <v>-478521.67597252375</v>
      </c>
      <c r="G158" s="387">
        <f>'Besoins structurels'!I158</f>
        <v>-5695</v>
      </c>
      <c r="H158" s="387">
        <f>'Besoins structurels'!N158</f>
        <v>0</v>
      </c>
      <c r="I158" s="387">
        <f>'Besoins structurels'!V158</f>
        <v>-49322</v>
      </c>
      <c r="J158" s="389">
        <f t="shared" si="11"/>
        <v>-55017</v>
      </c>
      <c r="K158" s="387">
        <f>'Charges des villes'!N158</f>
        <v>169637.66138202912</v>
      </c>
      <c r="L158" s="387">
        <f>'Charges des villes'!U158</f>
        <v>37220.632736691347</v>
      </c>
      <c r="M158" s="378">
        <f t="shared" si="12"/>
        <v>206858.29411872046</v>
      </c>
      <c r="N158" s="388">
        <f>-VLOOKUP(A158,Paramètres!$B$23:$C$322,2,FALSE)*$N$5</f>
        <v>0</v>
      </c>
      <c r="O158" s="408"/>
      <c r="P158" s="639">
        <f t="shared" si="13"/>
        <v>-326680.38185380329</v>
      </c>
      <c r="Q158" s="640"/>
      <c r="R158" s="640"/>
      <c r="S158" s="641"/>
      <c r="T158" s="388">
        <f>PCS!D158</f>
        <v>362095.14057042426</v>
      </c>
      <c r="U158" s="379">
        <f>Police!U158</f>
        <v>54617.278455088352</v>
      </c>
      <c r="V158" s="431">
        <f t="shared" si="14"/>
        <v>90032.037171709322</v>
      </c>
      <c r="W158" s="229"/>
      <c r="X158" s="229"/>
      <c r="Y158" s="229"/>
      <c r="Z158" s="99"/>
    </row>
    <row r="159" spans="1:26" x14ac:dyDescent="0.25">
      <c r="A159" s="208">
        <f>Données!A159</f>
        <v>5663</v>
      </c>
      <c r="B159" s="209" t="str">
        <f>Données!B159</f>
        <v>Bussy-sur-Moudon</v>
      </c>
      <c r="C159" s="387">
        <f>Ressources!H159</f>
        <v>-381268.055425231</v>
      </c>
      <c r="D159" s="387">
        <f>Ressources!L159</f>
        <v>-7798</v>
      </c>
      <c r="E159" s="430">
        <f>Ressources!T159</f>
        <v>-39478.928418998999</v>
      </c>
      <c r="F159" s="388">
        <f t="shared" si="10"/>
        <v>-428544.98384423001</v>
      </c>
      <c r="G159" s="387">
        <f>'Besoins structurels'!I159</f>
        <v>-11521</v>
      </c>
      <c r="H159" s="387">
        <f>'Besoins structurels'!N159</f>
        <v>0</v>
      </c>
      <c r="I159" s="387">
        <f>'Besoins structurels'!V159</f>
        <v>0</v>
      </c>
      <c r="J159" s="389">
        <f t="shared" si="11"/>
        <v>-11521</v>
      </c>
      <c r="K159" s="387">
        <f>'Charges des villes'!N159</f>
        <v>120774.63935350988</v>
      </c>
      <c r="L159" s="387">
        <f>'Charges des villes'!U159</f>
        <v>26499.47222014438</v>
      </c>
      <c r="M159" s="378">
        <f t="shared" si="12"/>
        <v>147274.11157365426</v>
      </c>
      <c r="N159" s="388">
        <f>-VLOOKUP(A159,Paramètres!$B$23:$C$322,2,FALSE)*$N$5</f>
        <v>-18300</v>
      </c>
      <c r="O159" s="408"/>
      <c r="P159" s="639">
        <f t="shared" si="13"/>
        <v>-311091.87227057572</v>
      </c>
      <c r="Q159" s="640"/>
      <c r="R159" s="640"/>
      <c r="S159" s="641"/>
      <c r="T159" s="388">
        <f>PCS!D159</f>
        <v>257795.99681916076</v>
      </c>
      <c r="U159" s="379">
        <f>Police!U159</f>
        <v>38885.127595742255</v>
      </c>
      <c r="V159" s="431">
        <f t="shared" si="14"/>
        <v>-14410.747855672707</v>
      </c>
      <c r="W159" s="229"/>
      <c r="X159" s="229"/>
      <c r="Y159" s="229"/>
      <c r="Z159" s="99"/>
    </row>
    <row r="160" spans="1:26" x14ac:dyDescent="0.25">
      <c r="A160" s="208">
        <f>Données!A160</f>
        <v>5665</v>
      </c>
      <c r="B160" s="209" t="str">
        <f>Données!B160</f>
        <v>Chavannes-sur-Moudon</v>
      </c>
      <c r="C160" s="387">
        <f>Ressources!H160</f>
        <v>-256985.68020645448</v>
      </c>
      <c r="D160" s="387">
        <f>Ressources!L160</f>
        <v>0</v>
      </c>
      <c r="E160" s="430">
        <f>Ressources!T160</f>
        <v>-43929.393732636534</v>
      </c>
      <c r="F160" s="388">
        <f t="shared" si="10"/>
        <v>-300915.073939091</v>
      </c>
      <c r="G160" s="387">
        <f>'Besoins structurels'!I160</f>
        <v>-35528</v>
      </c>
      <c r="H160" s="387">
        <f>'Besoins structurels'!N160</f>
        <v>-853</v>
      </c>
      <c r="I160" s="387">
        <f>'Besoins structurels'!V160</f>
        <v>0</v>
      </c>
      <c r="J160" s="389">
        <f t="shared" si="11"/>
        <v>-36381</v>
      </c>
      <c r="K160" s="387">
        <f>'Charges des villes'!N160</f>
        <v>105562.5664578388</v>
      </c>
      <c r="L160" s="387">
        <f>'Charges des villes'!U160</f>
        <v>23161.75243669108</v>
      </c>
      <c r="M160" s="378">
        <f t="shared" si="12"/>
        <v>128724.31889452988</v>
      </c>
      <c r="N160" s="388">
        <f>-VLOOKUP(A160,Paramètres!$B$23:$C$322,2,FALSE)*$N$5</f>
        <v>0</v>
      </c>
      <c r="O160" s="408"/>
      <c r="P160" s="639">
        <f t="shared" si="13"/>
        <v>-208571.75504456111</v>
      </c>
      <c r="Q160" s="640"/>
      <c r="R160" s="640"/>
      <c r="S160" s="641"/>
      <c r="T160" s="388">
        <f>PCS!D160</f>
        <v>225325.50867018249</v>
      </c>
      <c r="U160" s="379">
        <f>Police!U160</f>
        <v>33987.382516889222</v>
      </c>
      <c r="V160" s="431">
        <f t="shared" si="14"/>
        <v>50741.136142510601</v>
      </c>
      <c r="W160" s="229"/>
      <c r="X160" s="229"/>
      <c r="Y160" s="229"/>
      <c r="Z160" s="99"/>
    </row>
    <row r="161" spans="1:26" x14ac:dyDescent="0.25">
      <c r="A161" s="208">
        <f>Données!A161</f>
        <v>5669</v>
      </c>
      <c r="B161" s="209" t="str">
        <f>Données!B161</f>
        <v>Curtilles</v>
      </c>
      <c r="C161" s="387">
        <f>Ressources!H161</f>
        <v>-302566.90449895739</v>
      </c>
      <c r="D161" s="387">
        <f>Ressources!L161</f>
        <v>0</v>
      </c>
      <c r="E161" s="430">
        <f>Ressources!T161</f>
        <v>-31609.682072716387</v>
      </c>
      <c r="F161" s="388">
        <f t="shared" si="10"/>
        <v>-334176.58657167375</v>
      </c>
      <c r="G161" s="387">
        <f>'Besoins structurels'!I161</f>
        <v>-26947</v>
      </c>
      <c r="H161" s="387">
        <f>'Besoins structurels'!N161</f>
        <v>0</v>
      </c>
      <c r="I161" s="387">
        <f>'Besoins structurels'!V161</f>
        <v>0</v>
      </c>
      <c r="J161" s="389">
        <f t="shared" si="11"/>
        <v>-26947</v>
      </c>
      <c r="K161" s="387">
        <f>'Charges des villes'!N161</f>
        <v>141979.34702626351</v>
      </c>
      <c r="L161" s="387">
        <f>'Charges des villes'!U161</f>
        <v>31152.0513122308</v>
      </c>
      <c r="M161" s="378">
        <f t="shared" si="12"/>
        <v>173131.3983384943</v>
      </c>
      <c r="N161" s="388">
        <f>-VLOOKUP(A161,Paramètres!$B$23:$C$322,2,FALSE)*$N$5</f>
        <v>0</v>
      </c>
      <c r="O161" s="408"/>
      <c r="P161" s="639">
        <f t="shared" si="13"/>
        <v>-187992.18823317945</v>
      </c>
      <c r="Q161" s="640"/>
      <c r="R161" s="640"/>
      <c r="S161" s="641"/>
      <c r="T161" s="388">
        <f>PCS!D161</f>
        <v>303057.88939046382</v>
      </c>
      <c r="U161" s="379">
        <f>Police!U161</f>
        <v>45712.287402628295</v>
      </c>
      <c r="V161" s="431">
        <f t="shared" si="14"/>
        <v>160777.98855991266</v>
      </c>
      <c r="W161" s="229"/>
      <c r="X161" s="229"/>
      <c r="Y161" s="229"/>
      <c r="Z161" s="99"/>
    </row>
    <row r="162" spans="1:26" x14ac:dyDescent="0.25">
      <c r="A162" s="208">
        <f>Données!A162</f>
        <v>5671</v>
      </c>
      <c r="B162" s="209" t="str">
        <f>Données!B162</f>
        <v>Dompierre</v>
      </c>
      <c r="C162" s="387">
        <f>Ressources!H162</f>
        <v>-308770.58066859335</v>
      </c>
      <c r="D162" s="387">
        <f>Ressources!L162</f>
        <v>0</v>
      </c>
      <c r="E162" s="430">
        <f>Ressources!T162</f>
        <v>-46426.28862809069</v>
      </c>
      <c r="F162" s="388">
        <f t="shared" si="10"/>
        <v>-355196.86929668405</v>
      </c>
      <c r="G162" s="387">
        <f>'Besoins structurels'!I162</f>
        <v>-14625</v>
      </c>
      <c r="H162" s="387">
        <f>'Besoins structurels'!N162</f>
        <v>-68</v>
      </c>
      <c r="I162" s="387">
        <f>'Besoins structurels'!V162</f>
        <v>-7479</v>
      </c>
      <c r="J162" s="389">
        <f t="shared" si="11"/>
        <v>-22172</v>
      </c>
      <c r="K162" s="387">
        <f>'Charges des villes'!N162</f>
        <v>110633.25742306246</v>
      </c>
      <c r="L162" s="387">
        <f>'Charges des villes'!U162</f>
        <v>24274.325697842181</v>
      </c>
      <c r="M162" s="378">
        <f t="shared" si="12"/>
        <v>134907.58312090463</v>
      </c>
      <c r="N162" s="388">
        <f>-VLOOKUP(A162,Paramètres!$B$23:$C$322,2,FALSE)*$N$5</f>
        <v>-25700</v>
      </c>
      <c r="O162" s="408"/>
      <c r="P162" s="639">
        <f t="shared" si="13"/>
        <v>-268161.28617577942</v>
      </c>
      <c r="Q162" s="640"/>
      <c r="R162" s="640"/>
      <c r="S162" s="641"/>
      <c r="T162" s="388">
        <f>PCS!D162</f>
        <v>236149.00471984193</v>
      </c>
      <c r="U162" s="379">
        <f>Police!U162</f>
        <v>35619.964209840233</v>
      </c>
      <c r="V162" s="431">
        <f t="shared" si="14"/>
        <v>3607.6827539027508</v>
      </c>
      <c r="W162" s="229"/>
      <c r="X162" s="229"/>
      <c r="Y162" s="229"/>
      <c r="Z162" s="99"/>
    </row>
    <row r="163" spans="1:26" x14ac:dyDescent="0.25">
      <c r="A163" s="208">
        <f>Données!A163</f>
        <v>5673</v>
      </c>
      <c r="B163" s="209" t="str">
        <f>Données!B163</f>
        <v>Hermenches</v>
      </c>
      <c r="C163" s="387">
        <f>Ressources!H163</f>
        <v>-453704.46863803914</v>
      </c>
      <c r="D163" s="387">
        <f>Ressources!L163</f>
        <v>0</v>
      </c>
      <c r="E163" s="430">
        <f>Ressources!T163</f>
        <v>-45986.416909490945</v>
      </c>
      <c r="F163" s="388">
        <f t="shared" si="10"/>
        <v>-499690.88554753008</v>
      </c>
      <c r="G163" s="387">
        <f>'Besoins structurels'!I163</f>
        <v>-19847</v>
      </c>
      <c r="H163" s="387">
        <f>'Besoins structurels'!N163</f>
        <v>-5018</v>
      </c>
      <c r="I163" s="387">
        <f>'Besoins structurels'!V163</f>
        <v>0</v>
      </c>
      <c r="J163" s="389">
        <f t="shared" si="11"/>
        <v>-24865</v>
      </c>
      <c r="K163" s="387">
        <f>'Charges des villes'!N163</f>
        <v>171942.52091167629</v>
      </c>
      <c r="L163" s="387">
        <f>'Charges des villes'!U163</f>
        <v>37726.347855396387</v>
      </c>
      <c r="M163" s="378">
        <f t="shared" si="12"/>
        <v>209668.86876707268</v>
      </c>
      <c r="N163" s="388">
        <f>-VLOOKUP(A163,Paramètres!$B$23:$C$322,2,FALSE)*$N$5</f>
        <v>-3700</v>
      </c>
      <c r="O163" s="408"/>
      <c r="P163" s="639">
        <f t="shared" si="13"/>
        <v>-318587.01678045746</v>
      </c>
      <c r="Q163" s="640"/>
      <c r="R163" s="640"/>
      <c r="S163" s="641"/>
      <c r="T163" s="388">
        <f>PCS!D163</f>
        <v>367014.91150208766</v>
      </c>
      <c r="U163" s="379">
        <f>Police!U163</f>
        <v>55359.36104279336</v>
      </c>
      <c r="V163" s="431">
        <f t="shared" si="14"/>
        <v>103787.25576442356</v>
      </c>
      <c r="W163" s="229"/>
      <c r="X163" s="229"/>
      <c r="Y163" s="229"/>
      <c r="Z163" s="99"/>
    </row>
    <row r="164" spans="1:26" x14ac:dyDescent="0.25">
      <c r="A164" s="208">
        <f>Données!A164</f>
        <v>5674</v>
      </c>
      <c r="B164" s="209" t="str">
        <f>Données!B164</f>
        <v>Lovatens</v>
      </c>
      <c r="C164" s="387">
        <f>Ressources!H164</f>
        <v>-162038.79944498863</v>
      </c>
      <c r="D164" s="387">
        <f>Ressources!L164</f>
        <v>0</v>
      </c>
      <c r="E164" s="430">
        <f>Ressources!T164</f>
        <v>-26480.657248755171</v>
      </c>
      <c r="F164" s="388">
        <f t="shared" si="10"/>
        <v>-188519.45669374379</v>
      </c>
      <c r="G164" s="387">
        <f>'Besoins structurels'!I164</f>
        <v>-24771</v>
      </c>
      <c r="H164" s="387">
        <f>'Besoins structurels'!N164</f>
        <v>-573</v>
      </c>
      <c r="I164" s="387">
        <f>'Besoins structurels'!V164</f>
        <v>0</v>
      </c>
      <c r="J164" s="389">
        <f t="shared" si="11"/>
        <v>-25344</v>
      </c>
      <c r="K164" s="387">
        <f>'Charges des villes'!N164</f>
        <v>67301.898265696334</v>
      </c>
      <c r="L164" s="387">
        <f>'Charges des villes'!U164</f>
        <v>14766.881466187328</v>
      </c>
      <c r="M164" s="378">
        <f t="shared" si="12"/>
        <v>82068.779731883667</v>
      </c>
      <c r="N164" s="388">
        <f>-VLOOKUP(A164,Paramètres!$B$23:$C$322,2,FALSE)*$N$5</f>
        <v>0</v>
      </c>
      <c r="O164" s="408"/>
      <c r="P164" s="639">
        <f t="shared" si="13"/>
        <v>-131794.67696186012</v>
      </c>
      <c r="Q164" s="640"/>
      <c r="R164" s="640"/>
      <c r="S164" s="641"/>
      <c r="T164" s="388">
        <f>PCS!D164</f>
        <v>143657.31120457049</v>
      </c>
      <c r="U164" s="379">
        <f>Police!U164</f>
        <v>21668.811560986142</v>
      </c>
      <c r="V164" s="431">
        <f t="shared" si="14"/>
        <v>33531.445803696508</v>
      </c>
      <c r="W164" s="229"/>
      <c r="X164" s="229"/>
      <c r="Y164" s="229"/>
      <c r="Z164" s="99"/>
    </row>
    <row r="165" spans="1:26" x14ac:dyDescent="0.25">
      <c r="A165" s="208">
        <f>Données!A165</f>
        <v>5675</v>
      </c>
      <c r="B165" s="209" t="str">
        <f>Données!B165</f>
        <v>Lucens</v>
      </c>
      <c r="C165" s="387">
        <f>Ressources!H165</f>
        <v>-7430170.2296465803</v>
      </c>
      <c r="D165" s="387">
        <f>Ressources!L165</f>
        <v>-276190</v>
      </c>
      <c r="E165" s="430">
        <f>Ressources!T165</f>
        <v>-282557.31318908883</v>
      </c>
      <c r="F165" s="388">
        <f t="shared" si="10"/>
        <v>-7988917.5428356696</v>
      </c>
      <c r="G165" s="387">
        <f>'Besoins structurels'!I165</f>
        <v>0</v>
      </c>
      <c r="H165" s="387">
        <f>'Besoins structurels'!N165</f>
        <v>-12381</v>
      </c>
      <c r="I165" s="387">
        <f>'Besoins structurels'!V165</f>
        <v>-145133</v>
      </c>
      <c r="J165" s="389">
        <f t="shared" si="11"/>
        <v>-157514</v>
      </c>
      <c r="K165" s="387">
        <f>'Charges des villes'!N165</f>
        <v>781870.08278860128</v>
      </c>
      <c r="L165" s="387">
        <f>'Charges des villes'!U165</f>
        <v>478811.07438993704</v>
      </c>
      <c r="M165" s="378">
        <f t="shared" si="12"/>
        <v>1260681.1571785384</v>
      </c>
      <c r="N165" s="388">
        <f>-VLOOKUP(A165,Paramètres!$B$23:$C$322,2,FALSE)*$N$5</f>
        <v>0</v>
      </c>
      <c r="O165" s="408"/>
      <c r="P165" s="639">
        <f t="shared" si="13"/>
        <v>-6885750.3856571317</v>
      </c>
      <c r="Q165" s="640"/>
      <c r="R165" s="640"/>
      <c r="S165" s="641"/>
      <c r="T165" s="388">
        <f>PCS!D165</f>
        <v>4658039.118098882</v>
      </c>
      <c r="U165" s="379">
        <f>Police!U165</f>
        <v>818101.94016463961</v>
      </c>
      <c r="V165" s="431">
        <f t="shared" si="14"/>
        <v>-1409609.32739361</v>
      </c>
      <c r="W165" s="229"/>
      <c r="X165" s="229"/>
      <c r="Y165" s="229"/>
      <c r="Z165" s="99"/>
    </row>
    <row r="166" spans="1:26" x14ac:dyDescent="0.25">
      <c r="A166" s="208">
        <f>Données!A166</f>
        <v>5678</v>
      </c>
      <c r="B166" s="209" t="str">
        <f>Données!B166</f>
        <v>Moudon</v>
      </c>
      <c r="C166" s="387">
        <f>Ressources!H166</f>
        <v>-10042012.138377719</v>
      </c>
      <c r="D166" s="387">
        <f>Ressources!L166</f>
        <v>-288793</v>
      </c>
      <c r="E166" s="430">
        <f>Ressources!T166</f>
        <v>-590186.18860596325</v>
      </c>
      <c r="F166" s="388">
        <f t="shared" si="10"/>
        <v>-10920991.326983683</v>
      </c>
      <c r="G166" s="387">
        <f>'Besoins structurels'!I166</f>
        <v>0</v>
      </c>
      <c r="H166" s="387">
        <f>'Besoins structurels'!N166</f>
        <v>-3593</v>
      </c>
      <c r="I166" s="387">
        <f>'Besoins structurels'!V166</f>
        <v>-459985</v>
      </c>
      <c r="J166" s="389">
        <f t="shared" si="11"/>
        <v>-463578</v>
      </c>
      <c r="K166" s="387">
        <f>'Charges des villes'!N166</f>
        <v>646376.66859181179</v>
      </c>
      <c r="L166" s="387">
        <f>'Charges des villes'!U166</f>
        <v>672702.25090145145</v>
      </c>
      <c r="M166" s="378">
        <f t="shared" si="12"/>
        <v>1319078.9194932631</v>
      </c>
      <c r="N166" s="388">
        <f>-VLOOKUP(A166,Paramètres!$B$23:$C$322,2,FALSE)*$N$5</f>
        <v>0</v>
      </c>
      <c r="O166" s="408"/>
      <c r="P166" s="639">
        <f t="shared" si="13"/>
        <v>-10065490.407490419</v>
      </c>
      <c r="Q166" s="640"/>
      <c r="R166" s="640"/>
      <c r="S166" s="641"/>
      <c r="T166" s="388">
        <f>PCS!D166</f>
        <v>6544279.2932986189</v>
      </c>
      <c r="U166" s="379">
        <f>Police!U166</f>
        <v>1195521.9984682277</v>
      </c>
      <c r="V166" s="431">
        <f t="shared" si="14"/>
        <v>-2325689.1157235727</v>
      </c>
      <c r="W166" s="229"/>
      <c r="X166" s="229"/>
      <c r="Y166" s="229"/>
      <c r="Z166" s="99"/>
    </row>
    <row r="167" spans="1:26" x14ac:dyDescent="0.25">
      <c r="A167" s="208">
        <f>Données!A167</f>
        <v>5680</v>
      </c>
      <c r="B167" s="209" t="str">
        <f>Données!B167</f>
        <v>Ogens</v>
      </c>
      <c r="C167" s="387">
        <f>Ressources!H167</f>
        <v>-413173.70795761369</v>
      </c>
      <c r="D167" s="387">
        <f>Ressources!L167</f>
        <v>0</v>
      </c>
      <c r="E167" s="430">
        <f>Ressources!T167</f>
        <v>-64745.741759078854</v>
      </c>
      <c r="F167" s="388">
        <f t="shared" si="10"/>
        <v>-477919.44971669256</v>
      </c>
      <c r="G167" s="387">
        <f>'Besoins structurels'!I167</f>
        <v>-7512</v>
      </c>
      <c r="H167" s="387">
        <f>'Besoins structurels'!N167</f>
        <v>0</v>
      </c>
      <c r="I167" s="387">
        <f>'Besoins structurels'!V167</f>
        <v>-99864</v>
      </c>
      <c r="J167" s="389">
        <f t="shared" si="11"/>
        <v>-107376</v>
      </c>
      <c r="K167" s="387">
        <f>'Charges des villes'!N167</f>
        <v>157191.4199219346</v>
      </c>
      <c r="L167" s="387">
        <f>'Charges des villes'!U167</f>
        <v>34489.771095684097</v>
      </c>
      <c r="M167" s="378">
        <f t="shared" si="12"/>
        <v>191681.19101761869</v>
      </c>
      <c r="N167" s="388">
        <f>-VLOOKUP(A167,Paramètres!$B$23:$C$322,2,FALSE)*$N$5</f>
        <v>0</v>
      </c>
      <c r="O167" s="408"/>
      <c r="P167" s="639">
        <f t="shared" si="13"/>
        <v>-393614.25869907386</v>
      </c>
      <c r="Q167" s="640"/>
      <c r="R167" s="640"/>
      <c r="S167" s="641"/>
      <c r="T167" s="388">
        <f>PCS!D167</f>
        <v>335528.37753944204</v>
      </c>
      <c r="U167" s="379">
        <f>Police!U167</f>
        <v>50610.032481481336</v>
      </c>
      <c r="V167" s="431">
        <f t="shared" si="14"/>
        <v>-7475.8486781504907</v>
      </c>
      <c r="W167" s="229"/>
      <c r="X167" s="229"/>
      <c r="Y167" s="229"/>
      <c r="Z167" s="99"/>
    </row>
    <row r="168" spans="1:26" x14ac:dyDescent="0.25">
      <c r="A168" s="208">
        <f>Données!A168</f>
        <v>5683</v>
      </c>
      <c r="B168" s="209" t="str">
        <f>Données!B168</f>
        <v>Prévonloup</v>
      </c>
      <c r="C168" s="387">
        <f>Ressources!H168</f>
        <v>-433724.27738174819</v>
      </c>
      <c r="D168" s="387">
        <f>Ressources!L168</f>
        <v>-31267</v>
      </c>
      <c r="E168" s="430">
        <f>Ressources!T168</f>
        <v>24995.662195462726</v>
      </c>
      <c r="F168" s="388">
        <f t="shared" si="10"/>
        <v>-439995.61518628546</v>
      </c>
      <c r="G168" s="387">
        <f>'Besoins structurels'!I168</f>
        <v>-60</v>
      </c>
      <c r="H168" s="387">
        <f>'Besoins structurels'!N168</f>
        <v>-675</v>
      </c>
      <c r="I168" s="387">
        <f>'Besoins structurels'!V168</f>
        <v>-7810</v>
      </c>
      <c r="J168" s="389">
        <f t="shared" si="11"/>
        <v>-8545</v>
      </c>
      <c r="K168" s="387">
        <f>'Charges des villes'!N168</f>
        <v>106484.51026969761</v>
      </c>
      <c r="L168" s="387">
        <f>'Charges des villes'!U168</f>
        <v>23364.038484173099</v>
      </c>
      <c r="M168" s="378">
        <f t="shared" si="12"/>
        <v>129848.54875387071</v>
      </c>
      <c r="N168" s="388">
        <f>-VLOOKUP(A168,Paramètres!$B$23:$C$322,2,FALSE)*$N$5</f>
        <v>0</v>
      </c>
      <c r="O168" s="408"/>
      <c r="P168" s="639">
        <f t="shared" si="13"/>
        <v>-318692.06643241475</v>
      </c>
      <c r="Q168" s="640"/>
      <c r="R168" s="640"/>
      <c r="S168" s="641"/>
      <c r="T168" s="388">
        <f>PCS!D168</f>
        <v>227293.41704284784</v>
      </c>
      <c r="U168" s="379">
        <f>Police!U168</f>
        <v>34284.215551971225</v>
      </c>
      <c r="V168" s="431">
        <f t="shared" si="14"/>
        <v>-57114.433837595687</v>
      </c>
      <c r="W168" s="229"/>
      <c r="X168" s="229"/>
      <c r="Y168" s="229"/>
      <c r="Z168" s="99"/>
    </row>
    <row r="169" spans="1:26" x14ac:dyDescent="0.25">
      <c r="A169" s="208">
        <f>Données!A169</f>
        <v>5684</v>
      </c>
      <c r="B169" s="209" t="str">
        <f>Données!B169</f>
        <v>Rossenges</v>
      </c>
      <c r="C169" s="387">
        <f>Ressources!H169</f>
        <v>2393.2939528698116</v>
      </c>
      <c r="D169" s="387">
        <f>Ressources!L169</f>
        <v>0</v>
      </c>
      <c r="E169" s="430">
        <f>Ressources!T169</f>
        <v>-18151.70823553401</v>
      </c>
      <c r="F169" s="388">
        <f t="shared" si="10"/>
        <v>-15758.414282664198</v>
      </c>
      <c r="G169" s="387">
        <f>'Besoins structurels'!I169</f>
        <v>-3796</v>
      </c>
      <c r="H169" s="387">
        <f>'Besoins structurels'!N169</f>
        <v>0</v>
      </c>
      <c r="I169" s="387">
        <f>'Besoins structurels'!V169</f>
        <v>0</v>
      </c>
      <c r="J169" s="389">
        <f t="shared" si="11"/>
        <v>-3796</v>
      </c>
      <c r="K169" s="387">
        <f>'Charges des villes'!N169</f>
        <v>41487.47153364843</v>
      </c>
      <c r="L169" s="387">
        <f>'Charges des villes'!U169</f>
        <v>9102.8721366908176</v>
      </c>
      <c r="M169" s="378">
        <f t="shared" si="12"/>
        <v>50590.343670339251</v>
      </c>
      <c r="N169" s="388">
        <f>-VLOOKUP(A169,Paramètres!$B$23:$C$322,2,FALSE)*$N$5</f>
        <v>0</v>
      </c>
      <c r="O169" s="408"/>
      <c r="P169" s="639">
        <f t="shared" si="13"/>
        <v>31035.929387675053</v>
      </c>
      <c r="Q169" s="640"/>
      <c r="R169" s="640"/>
      <c r="S169" s="641"/>
      <c r="T169" s="388">
        <f>PCS!D169</f>
        <v>88555.876769940718</v>
      </c>
      <c r="U169" s="379">
        <f>Police!U169</f>
        <v>13357.486578690088</v>
      </c>
      <c r="V169" s="431">
        <f t="shared" si="14"/>
        <v>132949.29273630586</v>
      </c>
      <c r="W169" s="229"/>
      <c r="X169" s="229"/>
      <c r="Y169" s="229"/>
      <c r="Z169" s="99"/>
    </row>
    <row r="170" spans="1:26" x14ac:dyDescent="0.25">
      <c r="A170" s="208">
        <f>Données!A170</f>
        <v>5688</v>
      </c>
      <c r="B170" s="209" t="str">
        <f>Données!B170</f>
        <v>Syens</v>
      </c>
      <c r="C170" s="387">
        <f>Ressources!H170</f>
        <v>-125991.27282650107</v>
      </c>
      <c r="D170" s="387">
        <f>Ressources!L170</f>
        <v>0</v>
      </c>
      <c r="E170" s="430">
        <f>Ressources!T170</f>
        <v>-15264.554928507056</v>
      </c>
      <c r="F170" s="388">
        <f t="shared" si="10"/>
        <v>-141255.82775500813</v>
      </c>
      <c r="G170" s="387">
        <f>'Besoins structurels'!I170</f>
        <v>-14148</v>
      </c>
      <c r="H170" s="387">
        <f>'Besoins structurels'!N170</f>
        <v>0</v>
      </c>
      <c r="I170" s="387">
        <f>'Besoins structurels'!V170</f>
        <v>0</v>
      </c>
      <c r="J170" s="389">
        <f t="shared" si="11"/>
        <v>-14148</v>
      </c>
      <c r="K170" s="387">
        <f>'Charges des villes'!N170</f>
        <v>69606.757795343467</v>
      </c>
      <c r="L170" s="387">
        <f>'Charges des villes'!U170</f>
        <v>15272.596584892372</v>
      </c>
      <c r="M170" s="378">
        <f t="shared" si="12"/>
        <v>84879.354380235833</v>
      </c>
      <c r="N170" s="388">
        <f>-VLOOKUP(A170,Paramètres!$B$23:$C$322,2,FALSE)*$N$5</f>
        <v>0</v>
      </c>
      <c r="O170" s="408"/>
      <c r="P170" s="639">
        <f t="shared" si="13"/>
        <v>-70524.473374772293</v>
      </c>
      <c r="Q170" s="640"/>
      <c r="R170" s="640"/>
      <c r="S170" s="641"/>
      <c r="T170" s="388">
        <f>PCS!D170</f>
        <v>148577.08213623389</v>
      </c>
      <c r="U170" s="379">
        <f>Police!U170</f>
        <v>22410.894148691146</v>
      </c>
      <c r="V170" s="431">
        <f t="shared" si="14"/>
        <v>100463.50291015275</v>
      </c>
      <c r="W170" s="229"/>
      <c r="X170" s="229"/>
      <c r="Y170" s="229"/>
      <c r="Z170" s="99"/>
    </row>
    <row r="171" spans="1:26" x14ac:dyDescent="0.25">
      <c r="A171" s="208">
        <f>Données!A171</f>
        <v>5690</v>
      </c>
      <c r="B171" s="209" t="str">
        <f>Données!B171</f>
        <v>Villars-le-Comte</v>
      </c>
      <c r="C171" s="387">
        <f>Ressources!H171</f>
        <v>-124366.39731516062</v>
      </c>
      <c r="D171" s="387">
        <f>Ressources!L171</f>
        <v>0</v>
      </c>
      <c r="E171" s="430">
        <f>Ressources!T171</f>
        <v>-7766.1887454498792</v>
      </c>
      <c r="F171" s="388">
        <f t="shared" si="10"/>
        <v>-132132.58606061048</v>
      </c>
      <c r="G171" s="387">
        <f>'Besoins structurels'!I171</f>
        <v>-33589</v>
      </c>
      <c r="H171" s="387">
        <f>'Besoins structurels'!N171</f>
        <v>-3119</v>
      </c>
      <c r="I171" s="387">
        <f>'Besoins structurels'!V171</f>
        <v>0</v>
      </c>
      <c r="J171" s="389">
        <f t="shared" si="11"/>
        <v>-36708</v>
      </c>
      <c r="K171" s="387">
        <f>'Charges des villes'!N171</f>
        <v>60848.291582684367</v>
      </c>
      <c r="L171" s="387">
        <f>'Charges des villes'!U171</f>
        <v>13350.8791338132</v>
      </c>
      <c r="M171" s="378">
        <f t="shared" si="12"/>
        <v>74199.170716497567</v>
      </c>
      <c r="N171" s="388">
        <f>-VLOOKUP(A171,Paramètres!$B$23:$C$322,2,FALSE)*$N$5</f>
        <v>0</v>
      </c>
      <c r="O171" s="408"/>
      <c r="P171" s="639">
        <f t="shared" si="13"/>
        <v>-94641.415344112917</v>
      </c>
      <c r="Q171" s="640"/>
      <c r="R171" s="640"/>
      <c r="S171" s="641"/>
      <c r="T171" s="388">
        <f>PCS!D171</f>
        <v>129881.95259591306</v>
      </c>
      <c r="U171" s="379">
        <f>Police!U171</f>
        <v>19590.980315412129</v>
      </c>
      <c r="V171" s="431">
        <f t="shared" si="14"/>
        <v>54831.517567212271</v>
      </c>
      <c r="W171" s="229"/>
      <c r="X171" s="229"/>
      <c r="Y171" s="229"/>
      <c r="Z171" s="99"/>
    </row>
    <row r="172" spans="1:26" x14ac:dyDescent="0.25">
      <c r="A172" s="208">
        <f>Données!A172</f>
        <v>5692</v>
      </c>
      <c r="B172" s="209" t="str">
        <f>Données!B172</f>
        <v>Vucherens</v>
      </c>
      <c r="C172" s="387">
        <f>Ressources!H172</f>
        <v>-598689.08710113354</v>
      </c>
      <c r="D172" s="387">
        <f>Ressources!L172</f>
        <v>0</v>
      </c>
      <c r="E172" s="430">
        <f>Ressources!T172</f>
        <v>-51587.406361135043</v>
      </c>
      <c r="F172" s="388">
        <f t="shared" si="10"/>
        <v>-650276.49346226861</v>
      </c>
      <c r="G172" s="387">
        <f>'Besoins structurels'!I172</f>
        <v>0</v>
      </c>
      <c r="H172" s="387">
        <f>'Besoins structurels'!N172</f>
        <v>-10230</v>
      </c>
      <c r="I172" s="387">
        <f>'Besoins structurels'!V172</f>
        <v>-81427</v>
      </c>
      <c r="J172" s="389">
        <f t="shared" si="11"/>
        <v>-91657</v>
      </c>
      <c r="K172" s="387">
        <f>'Charges des villes'!N172</f>
        <v>286724.52548810357</v>
      </c>
      <c r="L172" s="387">
        <f>'Charges des villes'!U172</f>
        <v>62910.96076690765</v>
      </c>
      <c r="M172" s="378">
        <f t="shared" si="12"/>
        <v>349635.48625501123</v>
      </c>
      <c r="N172" s="388">
        <f>-VLOOKUP(A172,Paramètres!$B$23:$C$322,2,FALSE)*$N$5</f>
        <v>0</v>
      </c>
      <c r="O172" s="408"/>
      <c r="P172" s="639">
        <f t="shared" si="13"/>
        <v>-392298.00720725738</v>
      </c>
      <c r="Q172" s="640"/>
      <c r="R172" s="640"/>
      <c r="S172" s="641"/>
      <c r="T172" s="388">
        <f>PCS!D172</f>
        <v>612019.50389892363</v>
      </c>
      <c r="U172" s="379">
        <f>Police!U172</f>
        <v>92315.0739105026</v>
      </c>
      <c r="V172" s="431">
        <f t="shared" si="14"/>
        <v>312036.57060216885</v>
      </c>
      <c r="W172" s="229"/>
      <c r="X172" s="229"/>
      <c r="Y172" s="229"/>
      <c r="Z172" s="99"/>
    </row>
    <row r="173" spans="1:26" x14ac:dyDescent="0.25">
      <c r="A173" s="208">
        <f>Données!A173</f>
        <v>5693</v>
      </c>
      <c r="B173" s="209" t="str">
        <f>Données!B173</f>
        <v>Montanaire</v>
      </c>
      <c r="C173" s="387">
        <f>Ressources!H173</f>
        <v>-3461087.2370236409</v>
      </c>
      <c r="D173" s="387">
        <f>Ressources!L173</f>
        <v>0</v>
      </c>
      <c r="E173" s="430">
        <f>Ressources!T173</f>
        <v>-337051.36735403101</v>
      </c>
      <c r="F173" s="388">
        <f t="shared" si="10"/>
        <v>-3798138.6043776721</v>
      </c>
      <c r="G173" s="387">
        <f>'Besoins structurels'!I173</f>
        <v>-117740</v>
      </c>
      <c r="H173" s="387">
        <f>'Besoins structurels'!N173</f>
        <v>-101797</v>
      </c>
      <c r="I173" s="387">
        <f>'Besoins structurels'!V173</f>
        <v>-116298</v>
      </c>
      <c r="J173" s="389">
        <f t="shared" si="11"/>
        <v>-335835</v>
      </c>
      <c r="K173" s="387">
        <f>'Charges des villes'!N173</f>
        <v>873608.79793827445</v>
      </c>
      <c r="L173" s="387">
        <f>'Charges des villes'!U173</f>
        <v>289370.190923027</v>
      </c>
      <c r="M173" s="378">
        <f t="shared" si="12"/>
        <v>1162978.9888613014</v>
      </c>
      <c r="N173" s="388">
        <f>-VLOOKUP(A173,Paramètres!$B$23:$C$322,2,FALSE)*$N$5</f>
        <v>0</v>
      </c>
      <c r="O173" s="408"/>
      <c r="P173" s="639">
        <f t="shared" si="13"/>
        <v>-2970994.6155163706</v>
      </c>
      <c r="Q173" s="640"/>
      <c r="R173" s="640"/>
      <c r="S173" s="641"/>
      <c r="T173" s="388">
        <f>PCS!D173</f>
        <v>2815092.9270977825</v>
      </c>
      <c r="U173" s="379">
        <f>Police!U173</f>
        <v>471336.03354627558</v>
      </c>
      <c r="V173" s="431">
        <f t="shared" si="14"/>
        <v>315434.34512768744</v>
      </c>
      <c r="W173" s="229"/>
      <c r="X173" s="229"/>
      <c r="Y173" s="229"/>
      <c r="Z173" s="99"/>
    </row>
    <row r="174" spans="1:26" x14ac:dyDescent="0.25">
      <c r="A174" s="208">
        <f>Données!A174</f>
        <v>5701</v>
      </c>
      <c r="B174" s="209" t="str">
        <f>Données!B174</f>
        <v>Arnex-sur-Nyon</v>
      </c>
      <c r="C174" s="387">
        <f>Ressources!H174</f>
        <v>162001.42159624715</v>
      </c>
      <c r="D174" s="387">
        <f>Ressources!L174</f>
        <v>0</v>
      </c>
      <c r="E174" s="430">
        <f>Ressources!T174</f>
        <v>30167.353901249109</v>
      </c>
      <c r="F174" s="388">
        <f t="shared" si="10"/>
        <v>192168.77549749624</v>
      </c>
      <c r="G174" s="387">
        <f>'Besoins structurels'!I174</f>
        <v>0</v>
      </c>
      <c r="H174" s="387">
        <f>'Besoins structurels'!N174</f>
        <v>0</v>
      </c>
      <c r="I174" s="387">
        <f>'Besoins structurels'!V174</f>
        <v>0</v>
      </c>
      <c r="J174" s="389">
        <f t="shared" si="11"/>
        <v>0</v>
      </c>
      <c r="K174" s="387">
        <f>'Charges des villes'!N174</f>
        <v>123079.49888315701</v>
      </c>
      <c r="L174" s="387">
        <f>'Charges des villes'!U174</f>
        <v>27005.187338849428</v>
      </c>
      <c r="M174" s="378">
        <f t="shared" si="12"/>
        <v>150084.68622200645</v>
      </c>
      <c r="N174" s="388">
        <f>-VLOOKUP(A174,Paramètres!$B$23:$C$322,2,FALSE)*$N$5</f>
        <v>0</v>
      </c>
      <c r="O174" s="408"/>
      <c r="P174" s="639">
        <f t="shared" si="13"/>
        <v>342253.46171950269</v>
      </c>
      <c r="Q174" s="640"/>
      <c r="R174" s="640"/>
      <c r="S174" s="641"/>
      <c r="T174" s="388">
        <f>PCS!D174</f>
        <v>262715.76775082416</v>
      </c>
      <c r="U174" s="379">
        <f>Police!U174</f>
        <v>39627.210183447256</v>
      </c>
      <c r="V174" s="431">
        <f t="shared" si="14"/>
        <v>644596.43965377402</v>
      </c>
      <c r="W174" s="229"/>
      <c r="X174" s="229"/>
      <c r="Y174" s="229"/>
      <c r="Z174" s="99"/>
    </row>
    <row r="175" spans="1:26" x14ac:dyDescent="0.25">
      <c r="A175" s="208">
        <f>Données!A175</f>
        <v>5702</v>
      </c>
      <c r="B175" s="209" t="str">
        <f>Données!B175</f>
        <v>Arzier-Le Muids</v>
      </c>
      <c r="C175" s="387">
        <f>Ressources!H175</f>
        <v>2239997.4575050371</v>
      </c>
      <c r="D175" s="387">
        <f>Ressources!L175</f>
        <v>0</v>
      </c>
      <c r="E175" s="430">
        <f>Ressources!T175</f>
        <v>-53847.617700721486</v>
      </c>
      <c r="F175" s="388">
        <f t="shared" si="10"/>
        <v>2186149.8398043155</v>
      </c>
      <c r="G175" s="387">
        <f>'Besoins structurels'!I175</f>
        <v>-302694</v>
      </c>
      <c r="H175" s="387">
        <f>'Besoins structurels'!N175</f>
        <v>-352000</v>
      </c>
      <c r="I175" s="387">
        <f>'Besoins structurels'!V175</f>
        <v>-6151</v>
      </c>
      <c r="J175" s="389">
        <f t="shared" si="11"/>
        <v>-660845</v>
      </c>
      <c r="K175" s="387">
        <f>'Charges des villes'!N175</f>
        <v>897333.75626441464</v>
      </c>
      <c r="L175" s="387">
        <f>'Charges des villes'!U175</f>
        <v>300192.494463315</v>
      </c>
      <c r="M175" s="378">
        <f t="shared" si="12"/>
        <v>1197526.2507277296</v>
      </c>
      <c r="N175" s="388">
        <f>-VLOOKUP(A175,Paramètres!$B$23:$C$322,2,FALSE)*$N$5</f>
        <v>0</v>
      </c>
      <c r="O175" s="408"/>
      <c r="P175" s="639">
        <f t="shared" si="13"/>
        <v>2722831.0905320449</v>
      </c>
      <c r="Q175" s="640"/>
      <c r="R175" s="640"/>
      <c r="S175" s="641"/>
      <c r="T175" s="388">
        <f>PCS!D175</f>
        <v>2920376.0250353785</v>
      </c>
      <c r="U175" s="379">
        <f>Police!U175</f>
        <v>489902.60432143114</v>
      </c>
      <c r="V175" s="431">
        <f t="shared" si="14"/>
        <v>6133109.7198888548</v>
      </c>
      <c r="W175" s="229"/>
      <c r="X175" s="229"/>
      <c r="Y175" s="229"/>
      <c r="Z175" s="99"/>
    </row>
    <row r="176" spans="1:26" x14ac:dyDescent="0.25">
      <c r="A176" s="208">
        <f>Données!A176</f>
        <v>5703</v>
      </c>
      <c r="B176" s="209" t="str">
        <f>Données!B176</f>
        <v>Bassins</v>
      </c>
      <c r="C176" s="387">
        <f>Ressources!H176</f>
        <v>-177783.94761749689</v>
      </c>
      <c r="D176" s="387">
        <f>Ressources!L176</f>
        <v>0</v>
      </c>
      <c r="E176" s="430">
        <f>Ressources!T176</f>
        <v>-150132.76635036076</v>
      </c>
      <c r="F176" s="388">
        <f t="shared" si="10"/>
        <v>-327916.71396785765</v>
      </c>
      <c r="G176" s="387">
        <f>'Besoins structurels'!I176</f>
        <v>-97703</v>
      </c>
      <c r="H176" s="387">
        <f>'Besoins structurels'!N176</f>
        <v>-145511</v>
      </c>
      <c r="I176" s="387">
        <f>'Besoins structurels'!V176</f>
        <v>0</v>
      </c>
      <c r="J176" s="389">
        <f t="shared" si="11"/>
        <v>-243214</v>
      </c>
      <c r="K176" s="387">
        <f>'Charges des villes'!N176</f>
        <v>568288.53985327552</v>
      </c>
      <c r="L176" s="387">
        <f>'Charges des villes'!U176</f>
        <v>150096.2472316575</v>
      </c>
      <c r="M176" s="378">
        <f t="shared" si="12"/>
        <v>718384.78708493302</v>
      </c>
      <c r="N176" s="388">
        <f>-VLOOKUP(A176,Paramètres!$B$23:$C$322,2,FALSE)*$N$5</f>
        <v>0</v>
      </c>
      <c r="O176" s="408"/>
      <c r="P176" s="639">
        <f t="shared" si="13"/>
        <v>147254.07311707537</v>
      </c>
      <c r="Q176" s="640"/>
      <c r="R176" s="640"/>
      <c r="S176" s="641"/>
      <c r="T176" s="388">
        <f>PCS!D176</f>
        <v>1460188.0125176893</v>
      </c>
      <c r="U176" s="379">
        <f>Police!U176</f>
        <v>232399.88441179783</v>
      </c>
      <c r="V176" s="431">
        <f t="shared" si="14"/>
        <v>1839841.9700465626</v>
      </c>
      <c r="W176" s="229"/>
      <c r="X176" s="229"/>
      <c r="Y176" s="229"/>
      <c r="Z176" s="99"/>
    </row>
    <row r="177" spans="1:26" x14ac:dyDescent="0.25">
      <c r="A177" s="208">
        <f>Données!A177</f>
        <v>5704</v>
      </c>
      <c r="B177" s="209" t="str">
        <f>Données!B177</f>
        <v>Begnins</v>
      </c>
      <c r="C177" s="387">
        <f>Ressources!H177</f>
        <v>2697218.7558353185</v>
      </c>
      <c r="D177" s="387">
        <f>Ressources!L177</f>
        <v>0</v>
      </c>
      <c r="E177" s="430">
        <f>Ressources!T177</f>
        <v>-173139.39787472121</v>
      </c>
      <c r="F177" s="388">
        <f t="shared" si="10"/>
        <v>2524079.3579605971</v>
      </c>
      <c r="G177" s="387">
        <f>'Besoins structurels'!I177</f>
        <v>0</v>
      </c>
      <c r="H177" s="387">
        <f>'Besoins structurels'!N177</f>
        <v>-147</v>
      </c>
      <c r="I177" s="387">
        <f>'Besoins structurels'!V177</f>
        <v>0</v>
      </c>
      <c r="J177" s="389">
        <f t="shared" si="11"/>
        <v>-147</v>
      </c>
      <c r="K177" s="387">
        <f>'Charges des villes'!N177</f>
        <v>691791.36029869644</v>
      </c>
      <c r="L177" s="387">
        <f>'Charges des villes'!U177</f>
        <v>206432.91145539956</v>
      </c>
      <c r="M177" s="378">
        <f t="shared" si="12"/>
        <v>898224.27175409603</v>
      </c>
      <c r="N177" s="388">
        <f>-VLOOKUP(A177,Paramètres!$B$23:$C$322,2,FALSE)*$N$5</f>
        <v>0</v>
      </c>
      <c r="O177" s="408"/>
      <c r="P177" s="639">
        <f t="shared" si="13"/>
        <v>3422156.6297146929</v>
      </c>
      <c r="Q177" s="640"/>
      <c r="R177" s="640"/>
      <c r="S177" s="641"/>
      <c r="T177" s="388">
        <f>PCS!D177</f>
        <v>2008250.494304989</v>
      </c>
      <c r="U177" s="379">
        <f>Police!U177</f>
        <v>329050.16405442974</v>
      </c>
      <c r="V177" s="431">
        <f t="shared" si="14"/>
        <v>5759457.2880741125</v>
      </c>
      <c r="W177" s="229"/>
      <c r="X177" s="229"/>
      <c r="Y177" s="229"/>
      <c r="Z177" s="99"/>
    </row>
    <row r="178" spans="1:26" x14ac:dyDescent="0.25">
      <c r="A178" s="208">
        <f>Données!A178</f>
        <v>5705</v>
      </c>
      <c r="B178" s="209" t="str">
        <f>Données!B178</f>
        <v>Bogis-Bossey</v>
      </c>
      <c r="C178" s="387">
        <f>Ressources!H178</f>
        <v>603561.74874542211</v>
      </c>
      <c r="D178" s="387">
        <f>Ressources!L178</f>
        <v>0</v>
      </c>
      <c r="E178" s="430">
        <f>Ressources!T178</f>
        <v>12400.709409125906</v>
      </c>
      <c r="F178" s="388">
        <f t="shared" si="10"/>
        <v>615962.45815454796</v>
      </c>
      <c r="G178" s="387">
        <f>'Besoins structurels'!I178</f>
        <v>0</v>
      </c>
      <c r="H178" s="387">
        <f>'Besoins structurels'!N178</f>
        <v>0</v>
      </c>
      <c r="I178" s="387">
        <f>'Besoins structurels'!V178</f>
        <v>0</v>
      </c>
      <c r="J178" s="389">
        <f t="shared" si="11"/>
        <v>0</v>
      </c>
      <c r="K178" s="387">
        <f>'Charges des villes'!N178</f>
        <v>456362.18687013269</v>
      </c>
      <c r="L178" s="387">
        <f>'Charges des villes'!U178</f>
        <v>100131.593503599</v>
      </c>
      <c r="M178" s="378">
        <f t="shared" si="12"/>
        <v>556493.78037373163</v>
      </c>
      <c r="N178" s="388">
        <f>-VLOOKUP(A178,Paramètres!$B$23:$C$322,2,FALSE)*$N$5</f>
        <v>0</v>
      </c>
      <c r="O178" s="408"/>
      <c r="P178" s="639">
        <f t="shared" si="13"/>
        <v>1172456.2385282796</v>
      </c>
      <c r="Q178" s="640"/>
      <c r="R178" s="640"/>
      <c r="S178" s="641"/>
      <c r="T178" s="388">
        <f>PCS!D178</f>
        <v>974114.6444693479</v>
      </c>
      <c r="U178" s="379">
        <f>Police!U178</f>
        <v>146932.35236559095</v>
      </c>
      <c r="V178" s="431">
        <f t="shared" si="14"/>
        <v>2293503.2353632185</v>
      </c>
      <c r="W178" s="229"/>
      <c r="X178" s="229"/>
      <c r="Y178" s="229"/>
      <c r="Z178" s="99"/>
    </row>
    <row r="179" spans="1:26" x14ac:dyDescent="0.25">
      <c r="A179" s="208">
        <f>Données!A179</f>
        <v>5706</v>
      </c>
      <c r="B179" s="209" t="str">
        <f>Données!B179</f>
        <v>Borex</v>
      </c>
      <c r="C179" s="387">
        <f>Ressources!H179</f>
        <v>581978.28044115682</v>
      </c>
      <c r="D179" s="387">
        <f>Ressources!L179</f>
        <v>0</v>
      </c>
      <c r="E179" s="430">
        <f>Ressources!T179</f>
        <v>-29793.729127232276</v>
      </c>
      <c r="F179" s="388">
        <f t="shared" si="10"/>
        <v>552184.5513139246</v>
      </c>
      <c r="G179" s="387">
        <f>'Besoins structurels'!I179</f>
        <v>0</v>
      </c>
      <c r="H179" s="387">
        <f>'Besoins structurels'!N179</f>
        <v>0</v>
      </c>
      <c r="I179" s="387">
        <f>'Besoins structurels'!V179</f>
        <v>0</v>
      </c>
      <c r="J179" s="389">
        <f t="shared" si="11"/>
        <v>0</v>
      </c>
      <c r="K179" s="387">
        <f>'Charges des villes'!N179</f>
        <v>492900.82180759672</v>
      </c>
      <c r="L179" s="387">
        <f>'Charges des villes'!U179</f>
        <v>115707.61915971439</v>
      </c>
      <c r="M179" s="378">
        <f t="shared" si="12"/>
        <v>608608.44096731115</v>
      </c>
      <c r="N179" s="388">
        <f>-VLOOKUP(A179,Paramètres!$B$23:$C$322,2,FALSE)*$N$5</f>
        <v>0</v>
      </c>
      <c r="O179" s="408"/>
      <c r="P179" s="639">
        <f t="shared" si="13"/>
        <v>1160792.9922812358</v>
      </c>
      <c r="Q179" s="640"/>
      <c r="R179" s="640"/>
      <c r="S179" s="641"/>
      <c r="T179" s="388">
        <f>PCS!D179</f>
        <v>1125643.5891645798</v>
      </c>
      <c r="U179" s="379">
        <f>Police!U179</f>
        <v>173403.30437859343</v>
      </c>
      <c r="V179" s="431">
        <f t="shared" si="14"/>
        <v>2459839.8858244088</v>
      </c>
      <c r="W179" s="229"/>
      <c r="X179" s="229"/>
      <c r="Y179" s="229"/>
      <c r="Z179" s="99"/>
    </row>
    <row r="180" spans="1:26" x14ac:dyDescent="0.25">
      <c r="A180" s="208">
        <f>Données!A180</f>
        <v>5707</v>
      </c>
      <c r="B180" s="209" t="str">
        <f>Données!B180</f>
        <v>Chavannes-de-Bogis</v>
      </c>
      <c r="C180" s="387">
        <f>Ressources!H180</f>
        <v>1622749.9346580557</v>
      </c>
      <c r="D180" s="387">
        <f>Ressources!L180</f>
        <v>0</v>
      </c>
      <c r="E180" s="430">
        <f>Ressources!T180</f>
        <v>57074.424100875505</v>
      </c>
      <c r="F180" s="388">
        <f t="shared" si="10"/>
        <v>1679824.358758931</v>
      </c>
      <c r="G180" s="387">
        <f>'Besoins structurels'!I180</f>
        <v>0</v>
      </c>
      <c r="H180" s="387">
        <f>'Besoins structurels'!N180</f>
        <v>0</v>
      </c>
      <c r="I180" s="387">
        <f>'Besoins structurels'!V180</f>
        <v>0</v>
      </c>
      <c r="J180" s="389">
        <f t="shared" si="11"/>
        <v>0</v>
      </c>
      <c r="K180" s="387">
        <f>'Charges des villes'!N180</f>
        <v>547002.59593449568</v>
      </c>
      <c r="L180" s="387">
        <f>'Charges des villes'!U180</f>
        <v>140386.51695252061</v>
      </c>
      <c r="M180" s="378">
        <f t="shared" si="12"/>
        <v>687389.11288701626</v>
      </c>
      <c r="N180" s="388">
        <f>-VLOOKUP(A180,Paramètres!$B$23:$C$322,2,FALSE)*$N$5</f>
        <v>0</v>
      </c>
      <c r="O180" s="408"/>
      <c r="P180" s="639">
        <f t="shared" si="13"/>
        <v>2367213.4716459475</v>
      </c>
      <c r="Q180" s="640"/>
      <c r="R180" s="640"/>
      <c r="S180" s="641"/>
      <c r="T180" s="388">
        <f>PCS!D180</f>
        <v>1365728.4106297526</v>
      </c>
      <c r="U180" s="379">
        <f>Police!U180</f>
        <v>215742.02652006951</v>
      </c>
      <c r="V180" s="431">
        <f t="shared" si="14"/>
        <v>3948683.9087957698</v>
      </c>
      <c r="W180" s="229"/>
      <c r="X180" s="229"/>
      <c r="Y180" s="229"/>
      <c r="Z180" s="99"/>
    </row>
    <row r="181" spans="1:26" x14ac:dyDescent="0.25">
      <c r="A181" s="208">
        <f>Données!A181</f>
        <v>5708</v>
      </c>
      <c r="B181" s="209" t="str">
        <f>Données!B181</f>
        <v>Chavannes-des-Bois</v>
      </c>
      <c r="C181" s="387">
        <f>Ressources!H181</f>
        <v>1176946.4548666149</v>
      </c>
      <c r="D181" s="387">
        <f>Ressources!L181</f>
        <v>0</v>
      </c>
      <c r="E181" s="430">
        <f>Ressources!T181</f>
        <v>-122067.58430327105</v>
      </c>
      <c r="F181" s="388">
        <f t="shared" si="10"/>
        <v>1054878.8705633439</v>
      </c>
      <c r="G181" s="387">
        <f>'Besoins structurels'!I181</f>
        <v>0</v>
      </c>
      <c r="H181" s="387">
        <f>'Besoins structurels'!N181</f>
        <v>0</v>
      </c>
      <c r="I181" s="387">
        <f>'Besoins structurels'!V181</f>
        <v>0</v>
      </c>
      <c r="J181" s="389">
        <f t="shared" si="11"/>
        <v>0</v>
      </c>
      <c r="K181" s="387">
        <f>'Charges des villes'!N181</f>
        <v>452674.41162269725</v>
      </c>
      <c r="L181" s="387">
        <f>'Charges des villes'!U181</f>
        <v>99322.449313670921</v>
      </c>
      <c r="M181" s="378">
        <f t="shared" si="12"/>
        <v>551996.86093636812</v>
      </c>
      <c r="N181" s="388">
        <f>-VLOOKUP(A181,Paramètres!$B$23:$C$322,2,FALSE)*$N$5</f>
        <v>0</v>
      </c>
      <c r="O181" s="408"/>
      <c r="P181" s="639">
        <f t="shared" si="13"/>
        <v>1606875.731499712</v>
      </c>
      <c r="Q181" s="640"/>
      <c r="R181" s="640"/>
      <c r="S181" s="641"/>
      <c r="T181" s="388">
        <f>PCS!D181</f>
        <v>966243.01097868651</v>
      </c>
      <c r="U181" s="379">
        <f>Police!U181</f>
        <v>145745.02022526297</v>
      </c>
      <c r="V181" s="431">
        <f t="shared" si="14"/>
        <v>2718863.7627036618</v>
      </c>
      <c r="W181" s="229"/>
      <c r="X181" s="229"/>
      <c r="Y181" s="229"/>
      <c r="Z181" s="99"/>
    </row>
    <row r="182" spans="1:26" x14ac:dyDescent="0.25">
      <c r="A182" s="208">
        <f>Données!A182</f>
        <v>5709</v>
      </c>
      <c r="B182" s="209" t="str">
        <f>Données!B182</f>
        <v>Chéserex</v>
      </c>
      <c r="C182" s="387">
        <f>Ressources!H182</f>
        <v>2522044.8686460941</v>
      </c>
      <c r="D182" s="387">
        <f>Ressources!L182</f>
        <v>0</v>
      </c>
      <c r="E182" s="430">
        <f>Ressources!T182</f>
        <v>119253.33259136745</v>
      </c>
      <c r="F182" s="388">
        <f t="shared" si="10"/>
        <v>2641298.2012374615</v>
      </c>
      <c r="G182" s="387">
        <f>'Besoins structurels'!I182</f>
        <v>-4843</v>
      </c>
      <c r="H182" s="387">
        <f>'Besoins structurels'!N182</f>
        <v>0</v>
      </c>
      <c r="I182" s="387">
        <f>'Besoins structurels'!V182</f>
        <v>0</v>
      </c>
      <c r="J182" s="389">
        <f t="shared" si="11"/>
        <v>-4843</v>
      </c>
      <c r="K182" s="387">
        <f>'Charges des villes'!N182</f>
        <v>522390.72327840643</v>
      </c>
      <c r="L182" s="387">
        <f>'Charges des villes'!U182</f>
        <v>129159.6413172686</v>
      </c>
      <c r="M182" s="378">
        <f t="shared" si="12"/>
        <v>651550.36459567503</v>
      </c>
      <c r="N182" s="388">
        <f>-VLOOKUP(A182,Paramètres!$B$23:$C$322,2,FALSE)*$N$5</f>
        <v>0</v>
      </c>
      <c r="O182" s="408"/>
      <c r="P182" s="639">
        <f t="shared" si="13"/>
        <v>3288005.5658331364</v>
      </c>
      <c r="Q182" s="640"/>
      <c r="R182" s="640"/>
      <c r="S182" s="641"/>
      <c r="T182" s="388">
        <f>PCS!D182</f>
        <v>1256509.4959468255</v>
      </c>
      <c r="U182" s="379">
        <f>Police!U182</f>
        <v>196481.37833275867</v>
      </c>
      <c r="V182" s="431">
        <f t="shared" si="14"/>
        <v>4740996.4401127202</v>
      </c>
      <c r="W182" s="229"/>
      <c r="X182" s="229"/>
      <c r="Y182" s="229"/>
      <c r="Z182" s="99"/>
    </row>
    <row r="183" spans="1:26" x14ac:dyDescent="0.25">
      <c r="A183" s="208">
        <f>Données!A183</f>
        <v>5710</v>
      </c>
      <c r="B183" s="209" t="str">
        <f>Données!B183</f>
        <v>Coinsins</v>
      </c>
      <c r="C183" s="387">
        <f>Ressources!H183</f>
        <v>-39057.63549995092</v>
      </c>
      <c r="D183" s="387">
        <f>Ressources!L183</f>
        <v>0</v>
      </c>
      <c r="E183" s="430">
        <f>Ressources!T183</f>
        <v>-1681.0200863453501</v>
      </c>
      <c r="F183" s="388">
        <f t="shared" si="10"/>
        <v>-40738.65558629627</v>
      </c>
      <c r="G183" s="387">
        <f>'Besoins structurels'!I183</f>
        <v>0</v>
      </c>
      <c r="H183" s="387">
        <f>'Besoins structurels'!N183</f>
        <v>0</v>
      </c>
      <c r="I183" s="387">
        <f>'Besoins structurels'!V183</f>
        <v>0</v>
      </c>
      <c r="J183" s="389">
        <f t="shared" si="11"/>
        <v>0</v>
      </c>
      <c r="K183" s="387">
        <f>'Charges des villes'!N183</f>
        <v>238322.47536551376</v>
      </c>
      <c r="L183" s="387">
        <f>'Charges des villes'!U183</f>
        <v>52290.943274101701</v>
      </c>
      <c r="M183" s="378">
        <f t="shared" si="12"/>
        <v>290613.41863961547</v>
      </c>
      <c r="N183" s="388">
        <f>-VLOOKUP(A183,Paramètres!$B$23:$C$322,2,FALSE)*$N$5</f>
        <v>0</v>
      </c>
      <c r="O183" s="408"/>
      <c r="P183" s="639">
        <f t="shared" si="13"/>
        <v>249874.76305331918</v>
      </c>
      <c r="Q183" s="640"/>
      <c r="R183" s="640"/>
      <c r="S183" s="641"/>
      <c r="T183" s="388">
        <f>PCS!D183</f>
        <v>508704.31433399284</v>
      </c>
      <c r="U183" s="379">
        <f>Police!U183</f>
        <v>76731.339568697498</v>
      </c>
      <c r="V183" s="431">
        <f t="shared" si="14"/>
        <v>835310.41695600946</v>
      </c>
      <c r="W183" s="229"/>
      <c r="X183" s="229"/>
      <c r="Y183" s="229"/>
      <c r="Z183" s="99"/>
    </row>
    <row r="184" spans="1:26" x14ac:dyDescent="0.25">
      <c r="A184" s="208">
        <f>Données!A184</f>
        <v>5711</v>
      </c>
      <c r="B184" s="209" t="str">
        <f>Données!B184</f>
        <v>Commugny</v>
      </c>
      <c r="C184" s="387">
        <f>Ressources!H184</f>
        <v>7764817.0588408569</v>
      </c>
      <c r="D184" s="387">
        <f>Ressources!L184</f>
        <v>0</v>
      </c>
      <c r="E184" s="430">
        <f>Ressources!T184</f>
        <v>235791.02611622121</v>
      </c>
      <c r="F184" s="388">
        <f t="shared" si="10"/>
        <v>8000608.0849570781</v>
      </c>
      <c r="G184" s="387">
        <f>'Besoins structurels'!I184</f>
        <v>0</v>
      </c>
      <c r="H184" s="387">
        <f>'Besoins structurels'!N184</f>
        <v>0</v>
      </c>
      <c r="I184" s="387">
        <f>'Besoins structurels'!V184</f>
        <v>0</v>
      </c>
      <c r="J184" s="389">
        <f t="shared" si="11"/>
        <v>0</v>
      </c>
      <c r="K184" s="387">
        <f>'Charges des villes'!N184</f>
        <v>901546.599331673</v>
      </c>
      <c r="L184" s="387">
        <f>'Charges des villes'!U184</f>
        <v>302114.21191439417</v>
      </c>
      <c r="M184" s="378">
        <f t="shared" si="12"/>
        <v>1203660.8112460673</v>
      </c>
      <c r="N184" s="388">
        <f>-VLOOKUP(A184,Paramètres!$B$23:$C$322,2,FALSE)*$N$5</f>
        <v>0</v>
      </c>
      <c r="O184" s="408"/>
      <c r="P184" s="639">
        <f t="shared" si="13"/>
        <v>9204268.8962031454</v>
      </c>
      <c r="Q184" s="640"/>
      <c r="R184" s="640"/>
      <c r="S184" s="641"/>
      <c r="T184" s="388">
        <f>PCS!D184</f>
        <v>2939071.1545756995</v>
      </c>
      <c r="U184" s="379">
        <f>Police!U184</f>
        <v>493199.47202916897</v>
      </c>
      <c r="V184" s="431">
        <f t="shared" si="14"/>
        <v>12636539.522808013</v>
      </c>
      <c r="W184" s="229"/>
      <c r="X184" s="229"/>
      <c r="Y184" s="229"/>
      <c r="Z184" s="99"/>
    </row>
    <row r="185" spans="1:26" x14ac:dyDescent="0.25">
      <c r="A185" s="208">
        <f>Données!A185</f>
        <v>5712</v>
      </c>
      <c r="B185" s="209" t="str">
        <f>Données!B185</f>
        <v>Coppet</v>
      </c>
      <c r="C185" s="387">
        <f>Ressources!H185</f>
        <v>13390354.647757621</v>
      </c>
      <c r="D185" s="387">
        <f>Ressources!L185</f>
        <v>0</v>
      </c>
      <c r="E185" s="430">
        <f>Ressources!T185</f>
        <v>350929.78238358477</v>
      </c>
      <c r="F185" s="388">
        <f t="shared" si="10"/>
        <v>13741284.430141207</v>
      </c>
      <c r="G185" s="387">
        <f>'Besoins structurels'!I185</f>
        <v>0</v>
      </c>
      <c r="H185" s="387">
        <f>'Besoins structurels'!N185</f>
        <v>0</v>
      </c>
      <c r="I185" s="387">
        <f>'Besoins structurels'!V185</f>
        <v>0</v>
      </c>
      <c r="J185" s="389">
        <f t="shared" si="11"/>
        <v>0</v>
      </c>
      <c r="K185" s="387">
        <f>'Charges des villes'!N185</f>
        <v>889162.20733253844</v>
      </c>
      <c r="L185" s="387">
        <f>'Charges des villes'!U185</f>
        <v>325275.96435108525</v>
      </c>
      <c r="M185" s="378">
        <f t="shared" si="12"/>
        <v>1214438.1716836237</v>
      </c>
      <c r="N185" s="388">
        <f>-VLOOKUP(A185,Paramètres!$B$23:$C$322,2,FALSE)*$N$5</f>
        <v>0</v>
      </c>
      <c r="O185" s="408"/>
      <c r="P185" s="639">
        <f t="shared" si="13"/>
        <v>14955722.601824831</v>
      </c>
      <c r="Q185" s="640"/>
      <c r="R185" s="640"/>
      <c r="S185" s="641"/>
      <c r="T185" s="388">
        <f>PCS!D185</f>
        <v>3164396.6632458819</v>
      </c>
      <c r="U185" s="379">
        <f>Police!U185</f>
        <v>535646.51010882878</v>
      </c>
      <c r="V185" s="431">
        <f t="shared" si="14"/>
        <v>18655765.775179543</v>
      </c>
      <c r="W185" s="229"/>
      <c r="X185" s="229"/>
      <c r="Y185" s="229"/>
      <c r="Z185" s="99"/>
    </row>
    <row r="186" spans="1:26" x14ac:dyDescent="0.25">
      <c r="A186" s="208">
        <f>Données!A186</f>
        <v>5713</v>
      </c>
      <c r="B186" s="209" t="str">
        <f>Données!B186</f>
        <v>Crans</v>
      </c>
      <c r="C186" s="387">
        <f>Ressources!H186</f>
        <v>8703210.0339542814</v>
      </c>
      <c r="D186" s="387">
        <f>Ressources!L186</f>
        <v>0</v>
      </c>
      <c r="E186" s="430">
        <f>Ressources!T186</f>
        <v>972373.319241822</v>
      </c>
      <c r="F186" s="388">
        <f t="shared" si="10"/>
        <v>9675583.3531961031</v>
      </c>
      <c r="G186" s="387">
        <f>'Besoins structurels'!I186</f>
        <v>0</v>
      </c>
      <c r="H186" s="387">
        <f>'Besoins structurels'!N186</f>
        <v>0</v>
      </c>
      <c r="I186" s="387">
        <f>'Besoins structurels'!V186</f>
        <v>0</v>
      </c>
      <c r="J186" s="389">
        <f t="shared" si="11"/>
        <v>0</v>
      </c>
      <c r="K186" s="387">
        <f>'Charges des villes'!N186</f>
        <v>783586.99344843463</v>
      </c>
      <c r="L186" s="387">
        <f>'Charges des villes'!U186</f>
        <v>248306.1232841773</v>
      </c>
      <c r="M186" s="378">
        <f t="shared" si="12"/>
        <v>1031893.1167326119</v>
      </c>
      <c r="N186" s="388">
        <f>-VLOOKUP(A186,Paramètres!$B$23:$C$322,2,FALSE)*$N$5</f>
        <v>0</v>
      </c>
      <c r="O186" s="408"/>
      <c r="P186" s="639">
        <f t="shared" si="13"/>
        <v>10707476.469928715</v>
      </c>
      <c r="Q186" s="640"/>
      <c r="R186" s="640"/>
      <c r="S186" s="641"/>
      <c r="T186" s="388">
        <f>PCS!D186</f>
        <v>2415607.5274467166</v>
      </c>
      <c r="U186" s="379">
        <f>Police!U186</f>
        <v>75692.221713084102</v>
      </c>
      <c r="V186" s="431">
        <f t="shared" si="14"/>
        <v>13198776.219088517</v>
      </c>
      <c r="W186" s="229"/>
      <c r="X186" s="229"/>
      <c r="Y186" s="229"/>
      <c r="Z186" s="99"/>
    </row>
    <row r="187" spans="1:26" x14ac:dyDescent="0.25">
      <c r="A187" s="208">
        <f>Données!A187</f>
        <v>5714</v>
      </c>
      <c r="B187" s="209" t="str">
        <f>Données!B187</f>
        <v>Crassier</v>
      </c>
      <c r="C187" s="387">
        <f>Ressources!H187</f>
        <v>209058.84657239768</v>
      </c>
      <c r="D187" s="387">
        <f>Ressources!L187</f>
        <v>0</v>
      </c>
      <c r="E187" s="430">
        <f>Ressources!T187</f>
        <v>-64999.093800781411</v>
      </c>
      <c r="F187" s="388">
        <f t="shared" si="10"/>
        <v>144059.75277161627</v>
      </c>
      <c r="G187" s="387">
        <f>'Besoins structurels'!I187</f>
        <v>0</v>
      </c>
      <c r="H187" s="387">
        <f>'Besoins structurels'!N187</f>
        <v>0</v>
      </c>
      <c r="I187" s="387">
        <f>'Besoins structurels'!V187</f>
        <v>0</v>
      </c>
      <c r="J187" s="389">
        <f t="shared" si="11"/>
        <v>0</v>
      </c>
      <c r="K187" s="387">
        <f>'Charges des villes'!N187</f>
        <v>521725.53753094457</v>
      </c>
      <c r="L187" s="387">
        <f>'Charges des villes'!U187</f>
        <v>128856.21224604557</v>
      </c>
      <c r="M187" s="378">
        <f t="shared" si="12"/>
        <v>650581.74977699015</v>
      </c>
      <c r="N187" s="388">
        <f>-VLOOKUP(A187,Paramètres!$B$23:$C$322,2,FALSE)*$N$5</f>
        <v>0</v>
      </c>
      <c r="O187" s="408"/>
      <c r="P187" s="639">
        <f t="shared" si="13"/>
        <v>794641.50254860637</v>
      </c>
      <c r="Q187" s="640"/>
      <c r="R187" s="640"/>
      <c r="S187" s="641"/>
      <c r="T187" s="388">
        <f>PCS!D187</f>
        <v>1253557.6333878275</v>
      </c>
      <c r="U187" s="379">
        <f>Police!U187</f>
        <v>195960.8202736422</v>
      </c>
      <c r="V187" s="431">
        <f t="shared" si="14"/>
        <v>2244159.9562100759</v>
      </c>
      <c r="W187" s="229"/>
      <c r="X187" s="229"/>
      <c r="Y187" s="229"/>
      <c r="Z187" s="99"/>
    </row>
    <row r="188" spans="1:26" x14ac:dyDescent="0.25">
      <c r="A188" s="208">
        <f>Données!A188</f>
        <v>5715</v>
      </c>
      <c r="B188" s="209" t="str">
        <f>Données!B188</f>
        <v>Duillier</v>
      </c>
      <c r="C188" s="387">
        <f>Ressources!H188</f>
        <v>97540.391994101796</v>
      </c>
      <c r="D188" s="387">
        <f>Ressources!L188</f>
        <v>0</v>
      </c>
      <c r="E188" s="430">
        <f>Ressources!T188</f>
        <v>-17518.634591281909</v>
      </c>
      <c r="F188" s="388">
        <f t="shared" si="10"/>
        <v>80021.757402819887</v>
      </c>
      <c r="G188" s="387">
        <f>'Besoins structurels'!I188</f>
        <v>0</v>
      </c>
      <c r="H188" s="387">
        <f>'Besoins structurels'!N188</f>
        <v>0</v>
      </c>
      <c r="I188" s="387">
        <f>'Besoins structurels'!V188</f>
        <v>0</v>
      </c>
      <c r="J188" s="389">
        <f t="shared" si="11"/>
        <v>0</v>
      </c>
      <c r="K188" s="387">
        <f>'Charges des villes'!N188</f>
        <v>492679.09322510951</v>
      </c>
      <c r="L188" s="387">
        <f>'Charges des villes'!U188</f>
        <v>115606.47613597338</v>
      </c>
      <c r="M188" s="378">
        <f t="shared" si="12"/>
        <v>608285.56936108286</v>
      </c>
      <c r="N188" s="388">
        <f>-VLOOKUP(A188,Paramètres!$B$23:$C$322,2,FALSE)*$N$5</f>
        <v>0</v>
      </c>
      <c r="O188" s="408"/>
      <c r="P188" s="639">
        <f t="shared" si="13"/>
        <v>688307.32676390279</v>
      </c>
      <c r="Q188" s="640"/>
      <c r="R188" s="640"/>
      <c r="S188" s="641"/>
      <c r="T188" s="388">
        <f>PCS!D188</f>
        <v>1124659.6349782471</v>
      </c>
      <c r="U188" s="379">
        <f>Police!U188</f>
        <v>173229.78502555459</v>
      </c>
      <c r="V188" s="431">
        <f t="shared" si="14"/>
        <v>1986196.7467677044</v>
      </c>
      <c r="W188" s="229"/>
      <c r="X188" s="229"/>
      <c r="Y188" s="229"/>
      <c r="Z188" s="99"/>
    </row>
    <row r="189" spans="1:26" x14ac:dyDescent="0.25">
      <c r="A189" s="208">
        <f>Données!A189</f>
        <v>5716</v>
      </c>
      <c r="B189" s="209" t="str">
        <f>Données!B189</f>
        <v>Eysins</v>
      </c>
      <c r="C189" s="387">
        <f>Ressources!H189</f>
        <v>16116271.420526076</v>
      </c>
      <c r="D189" s="387">
        <f>Ressources!L189</f>
        <v>0</v>
      </c>
      <c r="E189" s="430">
        <f>Ressources!T189</f>
        <v>329385.64729593042</v>
      </c>
      <c r="F189" s="388">
        <f t="shared" si="10"/>
        <v>16445657.067822006</v>
      </c>
      <c r="G189" s="387">
        <f>'Besoins structurels'!I189</f>
        <v>0</v>
      </c>
      <c r="H189" s="387">
        <f>'Besoins structurels'!N189</f>
        <v>0</v>
      </c>
      <c r="I189" s="387">
        <f>'Besoins structurels'!V189</f>
        <v>0</v>
      </c>
      <c r="J189" s="389">
        <f t="shared" si="11"/>
        <v>0</v>
      </c>
      <c r="K189" s="387">
        <f>'Charges des villes'!N189</f>
        <v>632146.37160961528</v>
      </c>
      <c r="L189" s="387">
        <f>'Charges des villes'!U189</f>
        <v>179225.4380690681</v>
      </c>
      <c r="M189" s="378">
        <f t="shared" si="12"/>
        <v>811371.80967868341</v>
      </c>
      <c r="N189" s="388">
        <f>-VLOOKUP(A189,Paramètres!$B$23:$C$322,2,FALSE)*$N$5</f>
        <v>0</v>
      </c>
      <c r="O189" s="408"/>
      <c r="P189" s="639">
        <f t="shared" si="13"/>
        <v>17257028.877500691</v>
      </c>
      <c r="Q189" s="640"/>
      <c r="R189" s="640"/>
      <c r="S189" s="641"/>
      <c r="T189" s="388">
        <f>PCS!D189</f>
        <v>1743566.8181814996</v>
      </c>
      <c r="U189" s="379">
        <f>Police!U189</f>
        <v>282373.45808698272</v>
      </c>
      <c r="V189" s="431">
        <f t="shared" si="14"/>
        <v>19282969.153769173</v>
      </c>
      <c r="W189" s="229"/>
      <c r="X189" s="229"/>
      <c r="Y189" s="229"/>
      <c r="Z189" s="99"/>
    </row>
    <row r="190" spans="1:26" x14ac:dyDescent="0.25">
      <c r="A190" s="208">
        <f>Données!A190</f>
        <v>5717</v>
      </c>
      <c r="B190" s="209" t="str">
        <f>Données!B190</f>
        <v>Founex</v>
      </c>
      <c r="C190" s="387">
        <f>Ressources!H190</f>
        <v>10824931.441358907</v>
      </c>
      <c r="D190" s="387">
        <f>Ressources!L190</f>
        <v>0</v>
      </c>
      <c r="E190" s="430">
        <f>Ressources!T190</f>
        <v>441233.91425798379</v>
      </c>
      <c r="F190" s="388">
        <f t="shared" si="10"/>
        <v>11266165.355616892</v>
      </c>
      <c r="G190" s="387">
        <f>'Besoins structurels'!I190</f>
        <v>0</v>
      </c>
      <c r="H190" s="387">
        <f>'Besoins structurels'!N190</f>
        <v>0</v>
      </c>
      <c r="I190" s="387">
        <f>'Besoins structurels'!V190</f>
        <v>0</v>
      </c>
      <c r="J190" s="389">
        <f t="shared" si="11"/>
        <v>0</v>
      </c>
      <c r="K190" s="387">
        <f>'Charges des villes'!N190</f>
        <v>851560.48779540136</v>
      </c>
      <c r="L190" s="387">
        <f>'Charges des villes'!U190</f>
        <v>379084.05298130208</v>
      </c>
      <c r="M190" s="378">
        <f t="shared" si="12"/>
        <v>1230644.5407767035</v>
      </c>
      <c r="N190" s="388">
        <f>-VLOOKUP(A190,Paramètres!$B$23:$C$322,2,FALSE)*$N$5</f>
        <v>0</v>
      </c>
      <c r="O190" s="408"/>
      <c r="P190" s="639">
        <f t="shared" si="13"/>
        <v>12496809.896393595</v>
      </c>
      <c r="Q190" s="640"/>
      <c r="R190" s="640"/>
      <c r="S190" s="641"/>
      <c r="T190" s="388">
        <f>PCS!D190</f>
        <v>3687860.2903748648</v>
      </c>
      <c r="U190" s="379">
        <f>Police!U190</f>
        <v>634636.16016791412</v>
      </c>
      <c r="V190" s="431">
        <f t="shared" si="14"/>
        <v>16819306.346936375</v>
      </c>
      <c r="W190" s="229"/>
      <c r="X190" s="229"/>
      <c r="Y190" s="229"/>
      <c r="Z190" s="99"/>
    </row>
    <row r="191" spans="1:26" x14ac:dyDescent="0.25">
      <c r="A191" s="208">
        <f>Données!A191</f>
        <v>5718</v>
      </c>
      <c r="B191" s="209" t="str">
        <f>Données!B191</f>
        <v>Genolier</v>
      </c>
      <c r="C191" s="387">
        <f>Ressources!H191</f>
        <v>4865100.2698955936</v>
      </c>
      <c r="D191" s="387">
        <f>Ressources!L191</f>
        <v>0</v>
      </c>
      <c r="E191" s="430">
        <f>Ressources!T191</f>
        <v>278037.99866783986</v>
      </c>
      <c r="F191" s="388">
        <f t="shared" si="10"/>
        <v>5143138.2685634336</v>
      </c>
      <c r="G191" s="387">
        <f>'Besoins structurels'!I191</f>
        <v>0</v>
      </c>
      <c r="H191" s="387">
        <f>'Besoins structurels'!N191</f>
        <v>0</v>
      </c>
      <c r="I191" s="387">
        <f>'Besoins structurels'!V191</f>
        <v>0</v>
      </c>
      <c r="J191" s="389">
        <f t="shared" si="11"/>
        <v>0</v>
      </c>
      <c r="K191" s="387">
        <f>'Charges des villes'!N191</f>
        <v>685361.23140656482</v>
      </c>
      <c r="L191" s="387">
        <f>'Charges des villes'!U191</f>
        <v>203499.7637669103</v>
      </c>
      <c r="M191" s="378">
        <f t="shared" si="12"/>
        <v>888860.99517347512</v>
      </c>
      <c r="N191" s="388">
        <f>-VLOOKUP(A191,Paramètres!$B$23:$C$322,2,FALSE)*$N$5</f>
        <v>0</v>
      </c>
      <c r="O191" s="408"/>
      <c r="P191" s="639">
        <f t="shared" si="13"/>
        <v>6031999.2637369083</v>
      </c>
      <c r="Q191" s="640"/>
      <c r="R191" s="640"/>
      <c r="S191" s="641"/>
      <c r="T191" s="388">
        <f>PCS!D191</f>
        <v>1979715.8229013414</v>
      </c>
      <c r="U191" s="379">
        <f>Police!U191</f>
        <v>324018.10281630349</v>
      </c>
      <c r="V191" s="431">
        <f t="shared" si="14"/>
        <v>8335733.1894545527</v>
      </c>
      <c r="W191" s="229"/>
      <c r="X191" s="229"/>
      <c r="Y191" s="229"/>
      <c r="Z191" s="99"/>
    </row>
    <row r="192" spans="1:26" x14ac:dyDescent="0.25">
      <c r="A192" s="208">
        <f>Données!A192</f>
        <v>5719</v>
      </c>
      <c r="B192" s="209" t="str">
        <f>Données!B192</f>
        <v>Gingins</v>
      </c>
      <c r="C192" s="387">
        <f>Ressources!H192</f>
        <v>5957549.7912074896</v>
      </c>
      <c r="D192" s="387">
        <f>Ressources!L192</f>
        <v>0</v>
      </c>
      <c r="E192" s="430">
        <f>Ressources!T192</f>
        <v>803.05145417657332</v>
      </c>
      <c r="F192" s="388">
        <f t="shared" si="10"/>
        <v>5958352.8426616658</v>
      </c>
      <c r="G192" s="387">
        <f>'Besoins structurels'!I192</f>
        <v>-28741</v>
      </c>
      <c r="H192" s="387">
        <f>'Besoins structurels'!N192</f>
        <v>-373</v>
      </c>
      <c r="I192" s="387">
        <f>'Besoins structurels'!V192</f>
        <v>0</v>
      </c>
      <c r="J192" s="389">
        <f t="shared" si="11"/>
        <v>-29114</v>
      </c>
      <c r="K192" s="387">
        <f>'Charges des villes'!N192</f>
        <v>517069.23729871144</v>
      </c>
      <c r="L192" s="387">
        <f>'Charges des villes'!U192</f>
        <v>126732.20874748439</v>
      </c>
      <c r="M192" s="378">
        <f t="shared" si="12"/>
        <v>643801.44604619581</v>
      </c>
      <c r="N192" s="388">
        <f>-VLOOKUP(A192,Paramètres!$B$23:$C$322,2,FALSE)*$N$5</f>
        <v>0</v>
      </c>
      <c r="O192" s="408"/>
      <c r="P192" s="639">
        <f t="shared" si="13"/>
        <v>6573040.2887078617</v>
      </c>
      <c r="Q192" s="640"/>
      <c r="R192" s="640"/>
      <c r="S192" s="641"/>
      <c r="T192" s="388">
        <f>PCS!D192</f>
        <v>1232894.5954748413</v>
      </c>
      <c r="U192" s="379">
        <f>Police!U192</f>
        <v>192316.91385982657</v>
      </c>
      <c r="V192" s="431">
        <f t="shared" si="14"/>
        <v>7998251.7980425293</v>
      </c>
      <c r="W192" s="229"/>
      <c r="X192" s="229"/>
      <c r="Y192" s="229"/>
      <c r="Z192" s="99"/>
    </row>
    <row r="193" spans="1:26" x14ac:dyDescent="0.25">
      <c r="A193" s="208">
        <f>Données!A193</f>
        <v>5720</v>
      </c>
      <c r="B193" s="209" t="str">
        <f>Données!B193</f>
        <v>Givrins</v>
      </c>
      <c r="C193" s="387">
        <f>Ressources!H193</f>
        <v>1311251.4186303774</v>
      </c>
      <c r="D193" s="387">
        <f>Ressources!L193</f>
        <v>0</v>
      </c>
      <c r="E193" s="430">
        <f>Ressources!T193</f>
        <v>10873.861997145199</v>
      </c>
      <c r="F193" s="388">
        <f t="shared" si="10"/>
        <v>1322125.2806275226</v>
      </c>
      <c r="G193" s="387">
        <f>'Besoins structurels'!I193</f>
        <v>0</v>
      </c>
      <c r="H193" s="387">
        <f>'Besoins structurels'!N193</f>
        <v>0</v>
      </c>
      <c r="I193" s="387">
        <f>'Besoins structurels'!V193</f>
        <v>0</v>
      </c>
      <c r="J193" s="389">
        <f t="shared" si="11"/>
        <v>0</v>
      </c>
      <c r="K193" s="387">
        <f>'Charges des villes'!N193</f>
        <v>476714.63528602454</v>
      </c>
      <c r="L193" s="387">
        <f>'Charges des villes'!U193</f>
        <v>108324.17842662074</v>
      </c>
      <c r="M193" s="378">
        <f t="shared" si="12"/>
        <v>585038.81371264532</v>
      </c>
      <c r="N193" s="388">
        <f>-VLOOKUP(A193,Paramètres!$B$23:$C$322,2,FALSE)*$N$5</f>
        <v>0</v>
      </c>
      <c r="O193" s="408"/>
      <c r="P193" s="639">
        <f t="shared" si="13"/>
        <v>1907164.0943401679</v>
      </c>
      <c r="Q193" s="640"/>
      <c r="R193" s="640"/>
      <c r="S193" s="641"/>
      <c r="T193" s="388">
        <f>PCS!D193</f>
        <v>1053814.9335622946</v>
      </c>
      <c r="U193" s="379">
        <f>Police!U193</f>
        <v>160736.39160675835</v>
      </c>
      <c r="V193" s="431">
        <f t="shared" si="14"/>
        <v>3121715.4195092209</v>
      </c>
      <c r="W193" s="229"/>
      <c r="X193" s="229"/>
      <c r="Y193" s="229"/>
      <c r="Z193" s="99"/>
    </row>
    <row r="194" spans="1:26" x14ac:dyDescent="0.25">
      <c r="A194" s="208">
        <f>Données!A194</f>
        <v>5721</v>
      </c>
      <c r="B194" s="209" t="str">
        <f>Données!B194</f>
        <v>Gland</v>
      </c>
      <c r="C194" s="387">
        <f>Ressources!H194</f>
        <v>1578727.5836330196</v>
      </c>
      <c r="D194" s="387">
        <f>Ressources!L194</f>
        <v>0</v>
      </c>
      <c r="E194" s="430">
        <f>Ressources!T194</f>
        <v>395301.58184512192</v>
      </c>
      <c r="F194" s="388">
        <f t="shared" si="10"/>
        <v>1974029.1654781415</v>
      </c>
      <c r="G194" s="387">
        <f>'Besoins structurels'!I194</f>
        <v>0</v>
      </c>
      <c r="H194" s="387">
        <f>'Besoins structurels'!N194</f>
        <v>0</v>
      </c>
      <c r="I194" s="387">
        <f>'Besoins structurels'!V194</f>
        <v>0</v>
      </c>
      <c r="J194" s="389">
        <f t="shared" si="11"/>
        <v>0</v>
      </c>
      <c r="K194" s="387">
        <f>'Charges des villes'!N194</f>
        <v>-655506.43578191847</v>
      </c>
      <c r="L194" s="387">
        <f>'Charges des villes'!U194</f>
        <v>1107957.8056144151</v>
      </c>
      <c r="M194" s="378">
        <f t="shared" si="12"/>
        <v>452451.36983249662</v>
      </c>
      <c r="N194" s="388">
        <f>-VLOOKUP(A194,Paramètres!$B$23:$C$322,2,FALSE)*$N$5</f>
        <v>0</v>
      </c>
      <c r="O194" s="408"/>
      <c r="P194" s="639">
        <f t="shared" si="13"/>
        <v>2426480.5353106381</v>
      </c>
      <c r="Q194" s="640"/>
      <c r="R194" s="640"/>
      <c r="S194" s="641"/>
      <c r="T194" s="388">
        <f>PCS!D194</f>
        <v>13743872.074694799</v>
      </c>
      <c r="U194" s="379">
        <f>Police!U194</f>
        <v>2698242.9322507968</v>
      </c>
      <c r="V194" s="431">
        <f t="shared" si="14"/>
        <v>18868595.542256236</v>
      </c>
      <c r="W194" s="229"/>
      <c r="X194" s="229"/>
      <c r="Y194" s="229"/>
      <c r="Z194" s="99"/>
    </row>
    <row r="195" spans="1:26" x14ac:dyDescent="0.25">
      <c r="A195" s="208">
        <f>Données!A195</f>
        <v>5722</v>
      </c>
      <c r="B195" s="209" t="str">
        <f>Données!B195</f>
        <v>Grens</v>
      </c>
      <c r="C195" s="387">
        <f>Ressources!H195</f>
        <v>465284.99061177508</v>
      </c>
      <c r="D195" s="387">
        <f>Ressources!L195</f>
        <v>0</v>
      </c>
      <c r="E195" s="430">
        <f>Ressources!T195</f>
        <v>33633.527835551125</v>
      </c>
      <c r="F195" s="388">
        <f t="shared" si="10"/>
        <v>498918.51844732621</v>
      </c>
      <c r="G195" s="387">
        <f>'Besoins structurels'!I195</f>
        <v>0</v>
      </c>
      <c r="H195" s="387">
        <f>'Besoins structurels'!N195</f>
        <v>0</v>
      </c>
      <c r="I195" s="387">
        <f>'Besoins structurels'!V195</f>
        <v>0</v>
      </c>
      <c r="J195" s="389">
        <f t="shared" si="11"/>
        <v>0</v>
      </c>
      <c r="K195" s="387">
        <f>'Charges des villes'!N195</f>
        <v>181622.93093619423</v>
      </c>
      <c r="L195" s="387">
        <f>'Charges des villes'!U195</f>
        <v>39850.35135395758</v>
      </c>
      <c r="M195" s="378">
        <f t="shared" si="12"/>
        <v>221473.28229015181</v>
      </c>
      <c r="N195" s="388">
        <f>-VLOOKUP(A195,Paramètres!$B$23:$C$322,2,FALSE)*$N$5</f>
        <v>0</v>
      </c>
      <c r="O195" s="408"/>
      <c r="P195" s="639">
        <f t="shared" si="13"/>
        <v>720391.80073747807</v>
      </c>
      <c r="Q195" s="640"/>
      <c r="R195" s="640"/>
      <c r="S195" s="641"/>
      <c r="T195" s="388">
        <f>PCS!D195</f>
        <v>387677.94941507385</v>
      </c>
      <c r="U195" s="379">
        <f>Police!U195</f>
        <v>58476.107911154388</v>
      </c>
      <c r="V195" s="431">
        <f t="shared" si="14"/>
        <v>1166545.8580637064</v>
      </c>
      <c r="W195" s="229"/>
      <c r="X195" s="229"/>
      <c r="Y195" s="229"/>
      <c r="Z195" s="99"/>
    </row>
    <row r="196" spans="1:26" x14ac:dyDescent="0.25">
      <c r="A196" s="208">
        <f>Données!A196</f>
        <v>5723</v>
      </c>
      <c r="B196" s="209" t="str">
        <f>Données!B196</f>
        <v>Mies</v>
      </c>
      <c r="C196" s="387">
        <f>Ressources!H196</f>
        <v>8656333.7699241471</v>
      </c>
      <c r="D196" s="387">
        <f>Ressources!L196</f>
        <v>0</v>
      </c>
      <c r="E196" s="430">
        <f>Ressources!T196</f>
        <v>819404.72873933264</v>
      </c>
      <c r="F196" s="388">
        <f t="shared" si="10"/>
        <v>9475738.4986634795</v>
      </c>
      <c r="G196" s="387">
        <f>'Besoins structurels'!I196</f>
        <v>0</v>
      </c>
      <c r="H196" s="387">
        <f>'Besoins structurels'!N196</f>
        <v>0</v>
      </c>
      <c r="I196" s="387">
        <f>'Besoins structurels'!V196</f>
        <v>0</v>
      </c>
      <c r="J196" s="389">
        <f t="shared" si="11"/>
        <v>0</v>
      </c>
      <c r="K196" s="387">
        <f>'Charges des villes'!N196</f>
        <v>718842.24736214569</v>
      </c>
      <c r="L196" s="387">
        <f>'Charges des villes'!U196</f>
        <v>218772.36035180266</v>
      </c>
      <c r="M196" s="378">
        <f t="shared" si="12"/>
        <v>937614.60771394835</v>
      </c>
      <c r="N196" s="388">
        <f>-VLOOKUP(A196,Paramètres!$B$23:$C$322,2,FALSE)*$N$5</f>
        <v>0</v>
      </c>
      <c r="O196" s="408"/>
      <c r="P196" s="639">
        <f t="shared" si="13"/>
        <v>10413353.106377428</v>
      </c>
      <c r="Q196" s="640"/>
      <c r="R196" s="640"/>
      <c r="S196" s="641"/>
      <c r="T196" s="388">
        <f>PCS!D196</f>
        <v>2128292.9050375754</v>
      </c>
      <c r="U196" s="379">
        <f>Police!U196</f>
        <v>350219.5251251678</v>
      </c>
      <c r="V196" s="431">
        <f t="shared" si="14"/>
        <v>12891865.536540173</v>
      </c>
      <c r="W196" s="229"/>
      <c r="X196" s="229"/>
      <c r="Y196" s="229"/>
      <c r="Z196" s="99"/>
    </row>
    <row r="197" spans="1:26" x14ac:dyDescent="0.25">
      <c r="A197" s="208">
        <f>Données!A197</f>
        <v>5724</v>
      </c>
      <c r="B197" s="209" t="str">
        <f>Données!B197</f>
        <v>Nyon</v>
      </c>
      <c r="C197" s="387">
        <f>Ressources!H197</f>
        <v>25333565.745398398</v>
      </c>
      <c r="D197" s="387">
        <f>Ressources!L197</f>
        <v>0</v>
      </c>
      <c r="E197" s="430">
        <f>Ressources!T197</f>
        <v>1520174.6153495852</v>
      </c>
      <c r="F197" s="388">
        <f t="shared" si="10"/>
        <v>26853740.360747986</v>
      </c>
      <c r="G197" s="387">
        <f>'Besoins structurels'!I197</f>
        <v>0</v>
      </c>
      <c r="H197" s="387">
        <f>'Besoins structurels'!N197</f>
        <v>0</v>
      </c>
      <c r="I197" s="387">
        <f>'Besoins structurels'!V197</f>
        <v>0</v>
      </c>
      <c r="J197" s="389">
        <f t="shared" si="11"/>
        <v>0</v>
      </c>
      <c r="K197" s="387">
        <f>'Charges des villes'!N197</f>
        <v>-5492026.0134931654</v>
      </c>
      <c r="L197" s="387">
        <f>'Charges des villes'!U197</f>
        <v>109675.65783026023</v>
      </c>
      <c r="M197" s="378">
        <f t="shared" si="12"/>
        <v>-5382350.3556629047</v>
      </c>
      <c r="N197" s="388">
        <f>-VLOOKUP(A197,Paramètres!$B$23:$C$322,2,FALSE)*$N$5</f>
        <v>0</v>
      </c>
      <c r="O197" s="408"/>
      <c r="P197" s="639">
        <f t="shared" si="13"/>
        <v>21471390.005085081</v>
      </c>
      <c r="Q197" s="640"/>
      <c r="R197" s="640"/>
      <c r="S197" s="641"/>
      <c r="T197" s="388">
        <f>PCS!D197</f>
        <v>22953683.258768637</v>
      </c>
      <c r="U197" s="379">
        <f>Police!U197</f>
        <v>719245.68151642603</v>
      </c>
      <c r="V197" s="431">
        <f t="shared" si="14"/>
        <v>45144318.945370138</v>
      </c>
      <c r="W197" s="229"/>
      <c r="X197" s="229"/>
      <c r="Y197" s="229"/>
      <c r="Z197" s="99"/>
    </row>
    <row r="198" spans="1:26" x14ac:dyDescent="0.25">
      <c r="A198" s="208">
        <f>Données!A198</f>
        <v>5725</v>
      </c>
      <c r="B198" s="209" t="str">
        <f>Données!B198</f>
        <v>Prangins</v>
      </c>
      <c r="C198" s="387">
        <f>Ressources!H198</f>
        <v>8129562.6530341599</v>
      </c>
      <c r="D198" s="387">
        <f>Ressources!L198</f>
        <v>0</v>
      </c>
      <c r="E198" s="430">
        <f>Ressources!T198</f>
        <v>211455.00113238289</v>
      </c>
      <c r="F198" s="388">
        <f t="shared" si="10"/>
        <v>8341017.6541665429</v>
      </c>
      <c r="G198" s="387">
        <f>'Besoins structurels'!I198</f>
        <v>0</v>
      </c>
      <c r="H198" s="387">
        <f>'Besoins structurels'!N198</f>
        <v>0</v>
      </c>
      <c r="I198" s="387">
        <f>'Besoins structurels'!V198</f>
        <v>0</v>
      </c>
      <c r="J198" s="389">
        <f t="shared" si="11"/>
        <v>0</v>
      </c>
      <c r="K198" s="387">
        <f>'Charges des villes'!N198</f>
        <v>813958.76825826382</v>
      </c>
      <c r="L198" s="387">
        <f>'Charges des villes'!U198</f>
        <v>-134992.2583884811</v>
      </c>
      <c r="M198" s="378">
        <f t="shared" si="12"/>
        <v>678966.50986978272</v>
      </c>
      <c r="N198" s="388">
        <f>-VLOOKUP(A198,Paramètres!$B$23:$C$322,2,FALSE)*$N$5</f>
        <v>0</v>
      </c>
      <c r="O198" s="408"/>
      <c r="P198" s="639">
        <f t="shared" si="13"/>
        <v>9019984.1640363261</v>
      </c>
      <c r="Q198" s="640"/>
      <c r="R198" s="640"/>
      <c r="S198" s="641"/>
      <c r="T198" s="388">
        <f>PCS!D198</f>
        <v>4211323.9175038477</v>
      </c>
      <c r="U198" s="379">
        <f>Police!U198</f>
        <v>131960.37023706717</v>
      </c>
      <c r="V198" s="431">
        <f t="shared" si="14"/>
        <v>13363268.451777242</v>
      </c>
      <c r="W198" s="229"/>
      <c r="X198" s="229"/>
      <c r="Y198" s="229"/>
      <c r="Z198" s="99"/>
    </row>
    <row r="199" spans="1:26" x14ac:dyDescent="0.25">
      <c r="A199" s="208">
        <f>Données!A199</f>
        <v>5726</v>
      </c>
      <c r="B199" s="209" t="str">
        <f>Données!B199</f>
        <v>La Rippe</v>
      </c>
      <c r="C199" s="387">
        <f>Ressources!H199</f>
        <v>757926.53169437672</v>
      </c>
      <c r="D199" s="387">
        <f>Ressources!L199</f>
        <v>0</v>
      </c>
      <c r="E199" s="430">
        <f>Ressources!T199</f>
        <v>-135539.95592475118</v>
      </c>
      <c r="F199" s="388">
        <f t="shared" si="10"/>
        <v>622386.5757696256</v>
      </c>
      <c r="G199" s="387">
        <f>'Besoins structurels'!I199</f>
        <v>-75854</v>
      </c>
      <c r="H199" s="387">
        <f>'Besoins structurels'!N199</f>
        <v>0</v>
      </c>
      <c r="I199" s="387">
        <f>'Besoins structurels'!V199</f>
        <v>0</v>
      </c>
      <c r="J199" s="389">
        <f t="shared" si="11"/>
        <v>-75854</v>
      </c>
      <c r="K199" s="387">
        <f>'Charges des villes'!N199</f>
        <v>503987.25093196129</v>
      </c>
      <c r="L199" s="387">
        <f>'Charges des villes'!U199</f>
        <v>120764.77034676485</v>
      </c>
      <c r="M199" s="378">
        <f t="shared" si="12"/>
        <v>624752.02127872617</v>
      </c>
      <c r="N199" s="388">
        <f>-VLOOKUP(A199,Paramètres!$B$23:$C$322,2,FALSE)*$N$5</f>
        <v>0</v>
      </c>
      <c r="O199" s="408"/>
      <c r="P199" s="639">
        <f t="shared" si="13"/>
        <v>1171284.5970483518</v>
      </c>
      <c r="Q199" s="640"/>
      <c r="R199" s="640"/>
      <c r="S199" s="641"/>
      <c r="T199" s="388">
        <f>PCS!D199</f>
        <v>1174841.2984812136</v>
      </c>
      <c r="U199" s="379">
        <f>Police!U199</f>
        <v>182079.27203053527</v>
      </c>
      <c r="V199" s="431">
        <f t="shared" si="14"/>
        <v>2528205.1675601006</v>
      </c>
      <c r="W199" s="229"/>
      <c r="X199" s="229"/>
      <c r="Y199" s="229"/>
      <c r="Z199" s="99"/>
    </row>
    <row r="200" spans="1:26" x14ac:dyDescent="0.25">
      <c r="A200" s="208">
        <f>Données!A200</f>
        <v>5727</v>
      </c>
      <c r="B200" s="209" t="str">
        <f>Données!B200</f>
        <v>Saint-Cergue</v>
      </c>
      <c r="C200" s="387">
        <f>Ressources!H200</f>
        <v>-2027731.1771801526</v>
      </c>
      <c r="D200" s="387">
        <f>Ressources!L200</f>
        <v>0</v>
      </c>
      <c r="E200" s="430">
        <f>Ressources!T200</f>
        <v>-211942.6272825381</v>
      </c>
      <c r="F200" s="388">
        <f t="shared" si="10"/>
        <v>-2239673.8044626908</v>
      </c>
      <c r="G200" s="387">
        <f>'Besoins structurels'!I200</f>
        <v>-6418</v>
      </c>
      <c r="H200" s="387">
        <f>'Besoins structurels'!N200</f>
        <v>-475597</v>
      </c>
      <c r="I200" s="387">
        <f>'Besoins structurels'!V200</f>
        <v>0</v>
      </c>
      <c r="J200" s="389">
        <f t="shared" si="11"/>
        <v>-482015</v>
      </c>
      <c r="K200" s="387">
        <f>'Charges des villes'!N200</f>
        <v>903580.91181670409</v>
      </c>
      <c r="L200" s="387">
        <f>'Charges des villes'!U200</f>
        <v>304642.78750791936</v>
      </c>
      <c r="M200" s="378">
        <f t="shared" si="12"/>
        <v>1208223.6993246234</v>
      </c>
      <c r="N200" s="388">
        <f>-VLOOKUP(A200,Paramètres!$B$23:$C$322,2,FALSE)*$N$5</f>
        <v>0</v>
      </c>
      <c r="O200" s="408"/>
      <c r="P200" s="639">
        <f t="shared" si="13"/>
        <v>-1513465.1051380674</v>
      </c>
      <c r="Q200" s="640"/>
      <c r="R200" s="640"/>
      <c r="S200" s="641"/>
      <c r="T200" s="388">
        <f>PCS!D200</f>
        <v>2963670.0092340163</v>
      </c>
      <c r="U200" s="379">
        <f>Police!U200</f>
        <v>497688.07286812691</v>
      </c>
      <c r="V200" s="431">
        <f t="shared" si="14"/>
        <v>1947892.9769640758</v>
      </c>
      <c r="W200" s="229"/>
      <c r="X200" s="229"/>
      <c r="Y200" s="229"/>
      <c r="Z200" s="99"/>
    </row>
    <row r="201" spans="1:26" x14ac:dyDescent="0.25">
      <c r="A201" s="208">
        <f>Données!A201</f>
        <v>5728</v>
      </c>
      <c r="B201" s="209" t="str">
        <f>Données!B201</f>
        <v>Signy-Avenex</v>
      </c>
      <c r="C201" s="387">
        <f>Ressources!H201</f>
        <v>727960.04961282224</v>
      </c>
      <c r="D201" s="387">
        <f>Ressources!L201</f>
        <v>0</v>
      </c>
      <c r="E201" s="430">
        <f>Ressources!T201</f>
        <v>11929.870750021393</v>
      </c>
      <c r="F201" s="388">
        <f t="shared" ref="F201:F264" si="15">SUM(C201:E201)</f>
        <v>739889.92036284367</v>
      </c>
      <c r="G201" s="387">
        <f>'Besoins structurels'!I201</f>
        <v>0</v>
      </c>
      <c r="H201" s="387">
        <f>'Besoins structurels'!N201</f>
        <v>0</v>
      </c>
      <c r="I201" s="387">
        <f>'Besoins structurels'!V201</f>
        <v>0</v>
      </c>
      <c r="J201" s="389">
        <f t="shared" ref="J201:J264" si="16">SUM(G201:I201)</f>
        <v>0</v>
      </c>
      <c r="K201" s="387">
        <f>'Charges des villes'!N201</f>
        <v>278888.00308730331</v>
      </c>
      <c r="L201" s="387">
        <f>'Charges des villes'!U201</f>
        <v>61191.529363310496</v>
      </c>
      <c r="M201" s="378">
        <f t="shared" ref="M201:M264" si="17">SUM(K201:L201)</f>
        <v>340079.5324506138</v>
      </c>
      <c r="N201" s="388">
        <f>-VLOOKUP(A201,Paramètres!$B$23:$C$322,2,FALSE)*$N$5</f>
        <v>0</v>
      </c>
      <c r="O201" s="408"/>
      <c r="P201" s="639">
        <f t="shared" ref="P201:P264" si="18">F201+J201+M201+N201</f>
        <v>1079969.4528134575</v>
      </c>
      <c r="Q201" s="640"/>
      <c r="R201" s="640"/>
      <c r="S201" s="641"/>
      <c r="T201" s="388">
        <f>PCS!D201</f>
        <v>595292.28273126821</v>
      </c>
      <c r="U201" s="379">
        <f>Police!U201</f>
        <v>89791.993112305587</v>
      </c>
      <c r="V201" s="431">
        <f t="shared" ref="V201:V264" si="19">P201+T201+U201</f>
        <v>1765053.7286570314</v>
      </c>
      <c r="W201" s="229"/>
      <c r="X201" s="229"/>
      <c r="Y201" s="229"/>
      <c r="Z201" s="99"/>
    </row>
    <row r="202" spans="1:26" x14ac:dyDescent="0.25">
      <c r="A202" s="208">
        <f>Données!A202</f>
        <v>5729</v>
      </c>
      <c r="B202" s="209" t="str">
        <f>Données!B202</f>
        <v>Tannay</v>
      </c>
      <c r="C202" s="387">
        <f>Ressources!H202</f>
        <v>5562367.0536524625</v>
      </c>
      <c r="D202" s="387">
        <f>Ressources!L202</f>
        <v>0</v>
      </c>
      <c r="E202" s="430">
        <f>Ressources!T202</f>
        <v>1035.9668777470361</v>
      </c>
      <c r="F202" s="388">
        <f t="shared" si="15"/>
        <v>5563403.0205302099</v>
      </c>
      <c r="G202" s="387">
        <f>'Besoins structurels'!I202</f>
        <v>0</v>
      </c>
      <c r="H202" s="387">
        <f>'Besoins structurels'!N202</f>
        <v>0</v>
      </c>
      <c r="I202" s="387">
        <f>'Besoins structurels'!V202</f>
        <v>0</v>
      </c>
      <c r="J202" s="389">
        <f t="shared" si="16"/>
        <v>0</v>
      </c>
      <c r="K202" s="387">
        <f>'Charges des villes'!N202</f>
        <v>622390.31398017448</v>
      </c>
      <c r="L202" s="387">
        <f>'Charges des villes'!U202</f>
        <v>174775.14502446371</v>
      </c>
      <c r="M202" s="378">
        <f t="shared" si="17"/>
        <v>797165.45900463825</v>
      </c>
      <c r="N202" s="388">
        <f>-VLOOKUP(A202,Paramètres!$B$23:$C$322,2,FALSE)*$N$5</f>
        <v>0</v>
      </c>
      <c r="O202" s="408"/>
      <c r="P202" s="639">
        <f t="shared" si="18"/>
        <v>6360568.4795348477</v>
      </c>
      <c r="Q202" s="640"/>
      <c r="R202" s="640"/>
      <c r="S202" s="641"/>
      <c r="T202" s="388">
        <f>PCS!D202</f>
        <v>1700272.8339828618</v>
      </c>
      <c r="U202" s="379">
        <f>Police!U202</f>
        <v>274738.60655327392</v>
      </c>
      <c r="V202" s="431">
        <f t="shared" si="19"/>
        <v>8335579.9200709835</v>
      </c>
      <c r="W202" s="229"/>
      <c r="X202" s="229"/>
      <c r="Y202" s="229"/>
      <c r="Z202" s="99"/>
    </row>
    <row r="203" spans="1:26" x14ac:dyDescent="0.25">
      <c r="A203" s="208">
        <f>Données!A203</f>
        <v>5730</v>
      </c>
      <c r="B203" s="209" t="str">
        <f>Données!B203</f>
        <v>Trélex</v>
      </c>
      <c r="C203" s="387">
        <f>Ressources!H203</f>
        <v>5308317.8502625776</v>
      </c>
      <c r="D203" s="387">
        <f>Ressources!L203</f>
        <v>0</v>
      </c>
      <c r="E203" s="430">
        <f>Ressources!T203</f>
        <v>5705.5276628604042</v>
      </c>
      <c r="F203" s="388">
        <f t="shared" si="15"/>
        <v>5314023.3779254379</v>
      </c>
      <c r="G203" s="387">
        <f>'Besoins structurels'!I203</f>
        <v>0</v>
      </c>
      <c r="H203" s="387">
        <f>'Besoins structurels'!N203</f>
        <v>0</v>
      </c>
      <c r="I203" s="387">
        <f>'Besoins structurels'!V203</f>
        <v>0</v>
      </c>
      <c r="J203" s="389">
        <f t="shared" si="16"/>
        <v>0</v>
      </c>
      <c r="K203" s="387">
        <f>'Charges des villes'!N203</f>
        <v>555871.73923398729</v>
      </c>
      <c r="L203" s="387">
        <f>'Charges des villes'!U203</f>
        <v>144432.23790216097</v>
      </c>
      <c r="M203" s="378">
        <f t="shared" si="17"/>
        <v>700303.97713614826</v>
      </c>
      <c r="N203" s="388">
        <f>-VLOOKUP(A203,Paramètres!$B$23:$C$322,2,FALSE)*$N$5</f>
        <v>-14300</v>
      </c>
      <c r="O203" s="408"/>
      <c r="P203" s="639">
        <f t="shared" si="18"/>
        <v>6000027.355061586</v>
      </c>
      <c r="Q203" s="640"/>
      <c r="R203" s="640"/>
      <c r="S203" s="641"/>
      <c r="T203" s="388">
        <f>PCS!D203</f>
        <v>1405086.5780830595</v>
      </c>
      <c r="U203" s="379">
        <f>Police!U203</f>
        <v>222682.80064162298</v>
      </c>
      <c r="V203" s="431">
        <f t="shared" si="19"/>
        <v>7627796.7337862691</v>
      </c>
      <c r="W203" s="229"/>
      <c r="X203" s="229"/>
      <c r="Y203" s="229"/>
      <c r="Z203" s="99"/>
    </row>
    <row r="204" spans="1:26" x14ac:dyDescent="0.25">
      <c r="A204" s="208">
        <f>Données!A204</f>
        <v>5731</v>
      </c>
      <c r="B204" s="209" t="str">
        <f>Données!B204</f>
        <v>Le Vaud</v>
      </c>
      <c r="C204" s="387">
        <f>Ressources!H204</f>
        <v>390676.2059911227</v>
      </c>
      <c r="D204" s="387">
        <f>Ressources!L204</f>
        <v>0</v>
      </c>
      <c r="E204" s="430">
        <f>Ressources!T204</f>
        <v>-55616.572395819181</v>
      </c>
      <c r="F204" s="388">
        <f t="shared" si="15"/>
        <v>335059.63359530352</v>
      </c>
      <c r="G204" s="387">
        <f>'Besoins structurels'!I204</f>
        <v>0</v>
      </c>
      <c r="H204" s="387">
        <f>'Besoins structurels'!N204</f>
        <v>-108162</v>
      </c>
      <c r="I204" s="387">
        <f>'Besoins structurels'!V204</f>
        <v>0</v>
      </c>
      <c r="J204" s="389">
        <f t="shared" si="16"/>
        <v>-108162</v>
      </c>
      <c r="K204" s="387">
        <f>'Charges des villes'!N204</f>
        <v>543898.39577967359</v>
      </c>
      <c r="L204" s="387">
        <f>'Charges des villes'!U204</f>
        <v>138970.51462014648</v>
      </c>
      <c r="M204" s="378">
        <f t="shared" si="17"/>
        <v>682868.91039982007</v>
      </c>
      <c r="N204" s="388">
        <f>-VLOOKUP(A204,Paramètres!$B$23:$C$322,2,FALSE)*$N$5</f>
        <v>0</v>
      </c>
      <c r="O204" s="408"/>
      <c r="P204" s="639">
        <f t="shared" si="18"/>
        <v>909766.54399512359</v>
      </c>
      <c r="Q204" s="640"/>
      <c r="R204" s="640"/>
      <c r="S204" s="641"/>
      <c r="T204" s="388">
        <f>PCS!D204</f>
        <v>1351953.0520210951</v>
      </c>
      <c r="U204" s="379">
        <f>Police!U204</f>
        <v>213312.75557752582</v>
      </c>
      <c r="V204" s="431">
        <f t="shared" si="19"/>
        <v>2475032.3515937449</v>
      </c>
      <c r="W204" s="229"/>
      <c r="X204" s="229"/>
      <c r="Y204" s="229"/>
      <c r="Z204" s="99"/>
    </row>
    <row r="205" spans="1:26" x14ac:dyDescent="0.25">
      <c r="A205" s="208">
        <f>Données!A205</f>
        <v>5732</v>
      </c>
      <c r="B205" s="209" t="str">
        <f>Données!B205</f>
        <v>Vich</v>
      </c>
      <c r="C205" s="387">
        <f>Ressources!H205</f>
        <v>1350722.9890592087</v>
      </c>
      <c r="D205" s="387">
        <f>Ressources!L205</f>
        <v>0</v>
      </c>
      <c r="E205" s="430">
        <f>Ressources!T205</f>
        <v>84572.302114504535</v>
      </c>
      <c r="F205" s="388">
        <f t="shared" si="15"/>
        <v>1435295.2911737133</v>
      </c>
      <c r="G205" s="387">
        <f>'Besoins structurels'!I205</f>
        <v>0</v>
      </c>
      <c r="H205" s="387">
        <f>'Besoins structurels'!N205</f>
        <v>0</v>
      </c>
      <c r="I205" s="387">
        <f>'Besoins structurels'!V205</f>
        <v>0</v>
      </c>
      <c r="J205" s="389">
        <f t="shared" si="16"/>
        <v>0</v>
      </c>
      <c r="K205" s="387">
        <f>'Charges des villes'!N205</f>
        <v>500661.32219465199</v>
      </c>
      <c r="L205" s="387">
        <f>'Charges des villes'!U205</f>
        <v>119247.62499064971</v>
      </c>
      <c r="M205" s="378">
        <f t="shared" si="17"/>
        <v>619908.94718530169</v>
      </c>
      <c r="N205" s="388">
        <f>-VLOOKUP(A205,Paramètres!$B$23:$C$322,2,FALSE)*$N$5</f>
        <v>0</v>
      </c>
      <c r="O205" s="408"/>
      <c r="P205" s="639">
        <f t="shared" si="18"/>
        <v>2055204.238359015</v>
      </c>
      <c r="Q205" s="640"/>
      <c r="R205" s="640"/>
      <c r="S205" s="641"/>
      <c r="T205" s="388">
        <f>PCS!D205</f>
        <v>1160081.9856862235</v>
      </c>
      <c r="U205" s="379">
        <f>Police!U205</f>
        <v>179476.48173495269</v>
      </c>
      <c r="V205" s="431">
        <f t="shared" si="19"/>
        <v>3394762.7057801913</v>
      </c>
      <c r="W205" s="229"/>
      <c r="X205" s="229"/>
      <c r="Y205" s="229"/>
      <c r="Z205" s="99"/>
    </row>
    <row r="206" spans="1:26" x14ac:dyDescent="0.25">
      <c r="A206" s="208">
        <f>Données!A206</f>
        <v>5741</v>
      </c>
      <c r="B206" s="209" t="str">
        <f>Données!B206</f>
        <v>L'Abergement</v>
      </c>
      <c r="C206" s="387">
        <f>Ressources!H206</f>
        <v>-280809.8148315883</v>
      </c>
      <c r="D206" s="387">
        <f>Ressources!L206</f>
        <v>0</v>
      </c>
      <c r="E206" s="430">
        <f>Ressources!T206</f>
        <v>-33742.849706602021</v>
      </c>
      <c r="F206" s="388">
        <f t="shared" si="15"/>
        <v>-314552.66453819035</v>
      </c>
      <c r="G206" s="387">
        <f>'Besoins structurels'!I206</f>
        <v>-39354</v>
      </c>
      <c r="H206" s="387">
        <f>'Besoins structurels'!N206</f>
        <v>-4415</v>
      </c>
      <c r="I206" s="387">
        <f>'Besoins structurels'!V206</f>
        <v>0</v>
      </c>
      <c r="J206" s="389">
        <f t="shared" si="16"/>
        <v>-43769</v>
      </c>
      <c r="K206" s="387">
        <f>'Charges des villes'!N206</f>
        <v>124462.4146009453</v>
      </c>
      <c r="L206" s="387">
        <f>'Charges des villes'!U206</f>
        <v>27308.616410072453</v>
      </c>
      <c r="M206" s="378">
        <f t="shared" si="17"/>
        <v>151771.03101101774</v>
      </c>
      <c r="N206" s="388">
        <f>-VLOOKUP(A206,Paramètres!$B$23:$C$322,2,FALSE)*$N$5</f>
        <v>-15300</v>
      </c>
      <c r="O206" s="408"/>
      <c r="P206" s="639">
        <f t="shared" si="18"/>
        <v>-221850.63352717261</v>
      </c>
      <c r="Q206" s="640"/>
      <c r="R206" s="640"/>
      <c r="S206" s="641"/>
      <c r="T206" s="388">
        <f>PCS!D206</f>
        <v>265667.63030982215</v>
      </c>
      <c r="U206" s="379">
        <f>Police!U206</f>
        <v>40072.459736070268</v>
      </c>
      <c r="V206" s="431">
        <f t="shared" si="19"/>
        <v>83889.456518719817</v>
      </c>
      <c r="W206" s="229"/>
      <c r="X206" s="229"/>
      <c r="Y206" s="229"/>
      <c r="Z206" s="99"/>
    </row>
    <row r="207" spans="1:26" x14ac:dyDescent="0.25">
      <c r="A207" s="208">
        <f>Données!A207</f>
        <v>5742</v>
      </c>
      <c r="B207" s="209" t="str">
        <f>Données!B207</f>
        <v>Agiez</v>
      </c>
      <c r="C207" s="387">
        <f>Ressources!H207</f>
        <v>-472162.90516239806</v>
      </c>
      <c r="D207" s="387">
        <f>Ressources!L207</f>
        <v>0</v>
      </c>
      <c r="E207" s="430">
        <f>Ressources!T207</f>
        <v>-46077.766909490951</v>
      </c>
      <c r="F207" s="388">
        <f t="shared" si="15"/>
        <v>-518240.67207188904</v>
      </c>
      <c r="G207" s="387">
        <f>'Besoins structurels'!I207</f>
        <v>-26758</v>
      </c>
      <c r="H207" s="387">
        <f>'Besoins structurels'!N207</f>
        <v>0</v>
      </c>
      <c r="I207" s="387">
        <f>'Besoins structurels'!V207</f>
        <v>-35362</v>
      </c>
      <c r="J207" s="389">
        <f t="shared" si="16"/>
        <v>-62120</v>
      </c>
      <c r="K207" s="387">
        <f>'Charges des villes'!N207</f>
        <v>171942.52091167629</v>
      </c>
      <c r="L207" s="387">
        <f>'Charges des villes'!U207</f>
        <v>37726.347855396387</v>
      </c>
      <c r="M207" s="378">
        <f t="shared" si="17"/>
        <v>209668.86876707268</v>
      </c>
      <c r="N207" s="388">
        <f>-VLOOKUP(A207,Paramètres!$B$23:$C$322,2,FALSE)*$N$5</f>
        <v>0</v>
      </c>
      <c r="O207" s="408"/>
      <c r="P207" s="639">
        <f t="shared" si="18"/>
        <v>-370691.80330481636</v>
      </c>
      <c r="Q207" s="640"/>
      <c r="R207" s="640"/>
      <c r="S207" s="641"/>
      <c r="T207" s="388">
        <f>PCS!D207</f>
        <v>367014.91150208766</v>
      </c>
      <c r="U207" s="379">
        <f>Police!U207</f>
        <v>55359.36104279336</v>
      </c>
      <c r="V207" s="431">
        <f t="shared" si="19"/>
        <v>51682.46924006466</v>
      </c>
      <c r="W207" s="229"/>
      <c r="X207" s="229"/>
      <c r="Y207" s="229"/>
      <c r="Z207" s="99"/>
    </row>
    <row r="208" spans="1:26" x14ac:dyDescent="0.25">
      <c r="A208" s="208">
        <f>Données!A208</f>
        <v>5743</v>
      </c>
      <c r="B208" s="209" t="str">
        <f>Données!B208</f>
        <v>Arnex-sur-Orbe</v>
      </c>
      <c r="C208" s="387">
        <f>Ressources!H208</f>
        <v>-799039.28322479839</v>
      </c>
      <c r="D208" s="387">
        <f>Ressources!L208</f>
        <v>0</v>
      </c>
      <c r="E208" s="430">
        <f>Ressources!T208</f>
        <v>-102283.48155741338</v>
      </c>
      <c r="F208" s="388">
        <f t="shared" si="15"/>
        <v>-901322.76478221174</v>
      </c>
      <c r="G208" s="387">
        <f>'Besoins structurels'!I208</f>
        <v>-22498</v>
      </c>
      <c r="H208" s="387">
        <f>'Besoins structurels'!N208</f>
        <v>0</v>
      </c>
      <c r="I208" s="387">
        <f>'Besoins structurels'!V208</f>
        <v>0</v>
      </c>
      <c r="J208" s="389">
        <f t="shared" si="16"/>
        <v>-22498</v>
      </c>
      <c r="K208" s="387">
        <f>'Charges des villes'!N208</f>
        <v>321297.41843281058</v>
      </c>
      <c r="L208" s="387">
        <f>'Charges des villes'!U208</f>
        <v>70496.687547483336</v>
      </c>
      <c r="M208" s="378">
        <f t="shared" si="17"/>
        <v>391794.10598029394</v>
      </c>
      <c r="N208" s="388">
        <f>-VLOOKUP(A208,Paramètres!$B$23:$C$322,2,FALSE)*$N$5</f>
        <v>0</v>
      </c>
      <c r="O208" s="408"/>
      <c r="P208" s="639">
        <f t="shared" si="18"/>
        <v>-532026.6588019178</v>
      </c>
      <c r="Q208" s="640"/>
      <c r="R208" s="640"/>
      <c r="S208" s="641"/>
      <c r="T208" s="388">
        <f>PCS!D208</f>
        <v>685816.06787387421</v>
      </c>
      <c r="U208" s="379">
        <f>Police!U208</f>
        <v>103446.31272607767</v>
      </c>
      <c r="V208" s="431">
        <f t="shared" si="19"/>
        <v>257235.72179803409</v>
      </c>
      <c r="W208" s="229"/>
      <c r="X208" s="229"/>
      <c r="Y208" s="229"/>
      <c r="Z208" s="99"/>
    </row>
    <row r="209" spans="1:26" x14ac:dyDescent="0.25">
      <c r="A209" s="208">
        <f>Données!A209</f>
        <v>5744</v>
      </c>
      <c r="B209" s="209" t="str">
        <f>Données!B209</f>
        <v>Ballaigues</v>
      </c>
      <c r="C209" s="387">
        <f>Ressources!H209</f>
        <v>-54355.788281477078</v>
      </c>
      <c r="D209" s="387">
        <f>Ressources!L209</f>
        <v>0</v>
      </c>
      <c r="E209" s="430">
        <f>Ressources!T209</f>
        <v>262424.64103599323</v>
      </c>
      <c r="F209" s="388">
        <f t="shared" si="15"/>
        <v>208068.85275451615</v>
      </c>
      <c r="G209" s="387">
        <f>'Besoins structurels'!I209</f>
        <v>0</v>
      </c>
      <c r="H209" s="387">
        <f>'Besoins structurels'!N209</f>
        <v>-168983</v>
      </c>
      <c r="I209" s="387">
        <f>'Besoins structurels'!V209</f>
        <v>0</v>
      </c>
      <c r="J209" s="389">
        <f t="shared" si="16"/>
        <v>-168983</v>
      </c>
      <c r="K209" s="387">
        <f>'Charges des villes'!N209</f>
        <v>507313.1796692707</v>
      </c>
      <c r="L209" s="387">
        <f>'Charges des villes'!U209</f>
        <v>122281.91570287998</v>
      </c>
      <c r="M209" s="378">
        <f t="shared" si="17"/>
        <v>629595.09537215065</v>
      </c>
      <c r="N209" s="388">
        <f>-VLOOKUP(A209,Paramètres!$B$23:$C$322,2,FALSE)*$N$5</f>
        <v>-49300</v>
      </c>
      <c r="O209" s="408"/>
      <c r="P209" s="639">
        <f t="shared" si="18"/>
        <v>619380.94812666683</v>
      </c>
      <c r="Q209" s="640"/>
      <c r="R209" s="640"/>
      <c r="S209" s="641"/>
      <c r="T209" s="388">
        <f>PCS!D209</f>
        <v>1189600.6112762038</v>
      </c>
      <c r="U209" s="379">
        <f>Police!U209</f>
        <v>184682.06232611777</v>
      </c>
      <c r="V209" s="431">
        <f t="shared" si="19"/>
        <v>1993663.6217289884</v>
      </c>
      <c r="W209" s="229"/>
      <c r="X209" s="229"/>
      <c r="Y209" s="229"/>
      <c r="Z209" s="99"/>
    </row>
    <row r="210" spans="1:26" x14ac:dyDescent="0.25">
      <c r="A210" s="208">
        <f>Données!A210</f>
        <v>5745</v>
      </c>
      <c r="B210" s="209" t="str">
        <f>Données!B210</f>
        <v>Baulmes</v>
      </c>
      <c r="C210" s="387">
        <f>Ressources!H210</f>
        <v>-1509156.3036030156</v>
      </c>
      <c r="D210" s="387">
        <f>Ressources!L210</f>
        <v>0</v>
      </c>
      <c r="E210" s="430">
        <f>Ressources!T210</f>
        <v>-156984.62799004136</v>
      </c>
      <c r="F210" s="388">
        <f t="shared" si="15"/>
        <v>-1666140.931593057</v>
      </c>
      <c r="G210" s="387">
        <f>'Besoins structurels'!I210</f>
        <v>-140004</v>
      </c>
      <c r="H210" s="387">
        <f>'Besoins structurels'!N210</f>
        <v>0</v>
      </c>
      <c r="I210" s="387">
        <f>'Besoins structurels'!V210</f>
        <v>0</v>
      </c>
      <c r="J210" s="389">
        <f t="shared" si="16"/>
        <v>-140004</v>
      </c>
      <c r="K210" s="387">
        <f>'Charges des villes'!N210</f>
        <v>498222.30778729171</v>
      </c>
      <c r="L210" s="387">
        <f>'Charges des villes'!U210</f>
        <v>118135.05172949862</v>
      </c>
      <c r="M210" s="378">
        <f t="shared" si="17"/>
        <v>616357.35951679037</v>
      </c>
      <c r="N210" s="388">
        <f>-VLOOKUP(A210,Paramètres!$B$23:$C$322,2,FALSE)*$N$5</f>
        <v>-192100</v>
      </c>
      <c r="O210" s="408"/>
      <c r="P210" s="639">
        <f t="shared" si="18"/>
        <v>-1381887.5720762666</v>
      </c>
      <c r="Q210" s="640"/>
      <c r="R210" s="640"/>
      <c r="S210" s="641"/>
      <c r="T210" s="388">
        <f>PCS!D210</f>
        <v>1149258.4896365639</v>
      </c>
      <c r="U210" s="379">
        <f>Police!U210</f>
        <v>177567.7688515255</v>
      </c>
      <c r="V210" s="431">
        <f t="shared" si="19"/>
        <v>-55061.313588177203</v>
      </c>
      <c r="W210" s="229"/>
      <c r="X210" s="229"/>
      <c r="Y210" s="229"/>
      <c r="Z210" s="99"/>
    </row>
    <row r="211" spans="1:26" x14ac:dyDescent="0.25">
      <c r="A211" s="208">
        <f>Données!A211</f>
        <v>5746</v>
      </c>
      <c r="B211" s="209" t="str">
        <f>Données!B211</f>
        <v>Bavois</v>
      </c>
      <c r="C211" s="387">
        <f>Ressources!H211</f>
        <v>-764420.90368165972</v>
      </c>
      <c r="D211" s="387">
        <f>Ressources!L211</f>
        <v>0</v>
      </c>
      <c r="E211" s="430">
        <f>Ressources!T211</f>
        <v>-107274.95692434335</v>
      </c>
      <c r="F211" s="388">
        <f t="shared" si="15"/>
        <v>-871695.86060600309</v>
      </c>
      <c r="G211" s="387">
        <f>'Besoins structurels'!I211</f>
        <v>-11684</v>
      </c>
      <c r="H211" s="387">
        <f>'Besoins structurels'!N211</f>
        <v>0</v>
      </c>
      <c r="I211" s="387">
        <f>'Besoins structurels'!V211</f>
        <v>0</v>
      </c>
      <c r="J211" s="389">
        <f t="shared" si="16"/>
        <v>-11684</v>
      </c>
      <c r="K211" s="387">
        <f>'Charges des villes'!N211</f>
        <v>470062.77781140583</v>
      </c>
      <c r="L211" s="387">
        <f>'Charges des villes'!U211</f>
        <v>105289.88771439045</v>
      </c>
      <c r="M211" s="378">
        <f t="shared" si="17"/>
        <v>575352.66552579624</v>
      </c>
      <c r="N211" s="388">
        <f>-VLOOKUP(A211,Paramètres!$B$23:$C$322,2,FALSE)*$N$5</f>
        <v>-87800</v>
      </c>
      <c r="O211" s="408"/>
      <c r="P211" s="639">
        <f t="shared" si="18"/>
        <v>-395827.19508020685</v>
      </c>
      <c r="Q211" s="640"/>
      <c r="R211" s="640"/>
      <c r="S211" s="641"/>
      <c r="T211" s="388">
        <f>PCS!D211</f>
        <v>1024296.3079723143</v>
      </c>
      <c r="U211" s="379">
        <f>Police!U211</f>
        <v>155530.81101559324</v>
      </c>
      <c r="V211" s="431">
        <f t="shared" si="19"/>
        <v>783999.92390770069</v>
      </c>
      <c r="W211" s="229"/>
      <c r="X211" s="229"/>
      <c r="Y211" s="229"/>
      <c r="Z211" s="99"/>
    </row>
    <row r="212" spans="1:26" x14ac:dyDescent="0.25">
      <c r="A212" s="208">
        <f>Données!A212</f>
        <v>5747</v>
      </c>
      <c r="B212" s="209" t="str">
        <f>Données!B212</f>
        <v>Bofflens</v>
      </c>
      <c r="C212" s="387">
        <f>Ressources!H212</f>
        <v>-128223.77393818344</v>
      </c>
      <c r="D212" s="387">
        <f>Ressources!L212</f>
        <v>0</v>
      </c>
      <c r="E212" s="430">
        <f>Ressources!T212</f>
        <v>-23273.552190075574</v>
      </c>
      <c r="F212" s="388">
        <f t="shared" si="15"/>
        <v>-151497.32612825901</v>
      </c>
      <c r="G212" s="387">
        <f>'Besoins structurels'!I212</f>
        <v>-27623</v>
      </c>
      <c r="H212" s="387">
        <f>'Besoins structurels'!N212</f>
        <v>0</v>
      </c>
      <c r="I212" s="387">
        <f>'Besoins structurels'!V212</f>
        <v>-6233</v>
      </c>
      <c r="J212" s="389">
        <f t="shared" si="16"/>
        <v>-33856</v>
      </c>
      <c r="K212" s="387">
        <f>'Charges des villes'!N212</f>
        <v>92194.381185885402</v>
      </c>
      <c r="L212" s="387">
        <f>'Charges des villes'!U212</f>
        <v>20228.604748201818</v>
      </c>
      <c r="M212" s="378">
        <f t="shared" si="17"/>
        <v>112422.98593408722</v>
      </c>
      <c r="N212" s="388">
        <f>-VLOOKUP(A212,Paramètres!$B$23:$C$322,2,FALSE)*$N$5</f>
        <v>0</v>
      </c>
      <c r="O212" s="408"/>
      <c r="P212" s="639">
        <f t="shared" si="18"/>
        <v>-72930.340194171789</v>
      </c>
      <c r="Q212" s="640"/>
      <c r="R212" s="640"/>
      <c r="S212" s="641"/>
      <c r="T212" s="388">
        <f>PCS!D212</f>
        <v>196790.83726653495</v>
      </c>
      <c r="U212" s="379">
        <f>Police!U212</f>
        <v>29683.303508200195</v>
      </c>
      <c r="V212" s="431">
        <f t="shared" si="19"/>
        <v>153543.80058056334</v>
      </c>
      <c r="W212" s="229"/>
      <c r="X212" s="229"/>
      <c r="Y212" s="229"/>
      <c r="Z212" s="99"/>
    </row>
    <row r="213" spans="1:26" x14ac:dyDescent="0.25">
      <c r="A213" s="208">
        <f>Données!A213</f>
        <v>5748</v>
      </c>
      <c r="B213" s="209" t="str">
        <f>Données!B213</f>
        <v>Bretonnières</v>
      </c>
      <c r="C213" s="387">
        <f>Ressources!H213</f>
        <v>-325957.6237099655</v>
      </c>
      <c r="D213" s="387">
        <f>Ressources!L213</f>
        <v>0</v>
      </c>
      <c r="E213" s="430">
        <f>Ressources!T213</f>
        <v>-30030.353883048625</v>
      </c>
      <c r="F213" s="388">
        <f t="shared" si="15"/>
        <v>-355987.97759301413</v>
      </c>
      <c r="G213" s="387">
        <f>'Besoins structurels'!I213</f>
        <v>-36592</v>
      </c>
      <c r="H213" s="387">
        <f>'Besoins structurels'!N213</f>
        <v>-76</v>
      </c>
      <c r="I213" s="387">
        <f>'Besoins structurels'!V213</f>
        <v>-58880</v>
      </c>
      <c r="J213" s="389">
        <f t="shared" si="16"/>
        <v>-95548</v>
      </c>
      <c r="K213" s="387">
        <f>'Charges des villes'!N213</f>
        <v>120313.66744758045</v>
      </c>
      <c r="L213" s="387">
        <f>'Charges des villes'!U213</f>
        <v>26398.329196403371</v>
      </c>
      <c r="M213" s="378">
        <f t="shared" si="17"/>
        <v>146711.99664398382</v>
      </c>
      <c r="N213" s="388">
        <f>-VLOOKUP(A213,Paramètres!$B$23:$C$322,2,FALSE)*$N$5</f>
        <v>0</v>
      </c>
      <c r="O213" s="408"/>
      <c r="P213" s="639">
        <f t="shared" si="18"/>
        <v>-304823.98094903032</v>
      </c>
      <c r="Q213" s="640"/>
      <c r="R213" s="640"/>
      <c r="S213" s="641"/>
      <c r="T213" s="388">
        <f>PCS!D213</f>
        <v>256812.04263282809</v>
      </c>
      <c r="U213" s="379">
        <f>Police!U213</f>
        <v>38736.711078201253</v>
      </c>
      <c r="V213" s="431">
        <f t="shared" si="19"/>
        <v>-9275.2272380009745</v>
      </c>
      <c r="W213" s="229"/>
      <c r="X213" s="229"/>
      <c r="Y213" s="229"/>
      <c r="Z213" s="99"/>
    </row>
    <row r="214" spans="1:26" x14ac:dyDescent="0.25">
      <c r="A214" s="208">
        <f>Données!A214</f>
        <v>5749</v>
      </c>
      <c r="B214" s="209" t="str">
        <f>Données!B214</f>
        <v>Chavornay</v>
      </c>
      <c r="C214" s="387">
        <f>Ressources!H214</f>
        <v>-6080116.928198264</v>
      </c>
      <c r="D214" s="387">
        <f>Ressources!L214</f>
        <v>0</v>
      </c>
      <c r="E214" s="430">
        <f>Ressources!T214</f>
        <v>-569121.17464195646</v>
      </c>
      <c r="F214" s="388">
        <f t="shared" si="15"/>
        <v>-6649238.1028402206</v>
      </c>
      <c r="G214" s="387">
        <f>'Besoins structurels'!I214</f>
        <v>0</v>
      </c>
      <c r="H214" s="387">
        <f>'Besoins structurels'!N214</f>
        <v>0</v>
      </c>
      <c r="I214" s="387">
        <f>'Besoins structurels'!V214</f>
        <v>-26309</v>
      </c>
      <c r="J214" s="389">
        <f t="shared" si="16"/>
        <v>-26309</v>
      </c>
      <c r="K214" s="387">
        <f>'Charges des villes'!N214</f>
        <v>731828.69663767423</v>
      </c>
      <c r="L214" s="387">
        <f>'Charges des villes'!U214</f>
        <v>550420.33519857144</v>
      </c>
      <c r="M214" s="378">
        <f t="shared" si="17"/>
        <v>1282249.0318362457</v>
      </c>
      <c r="N214" s="388">
        <f>-VLOOKUP(A214,Paramètres!$B$23:$C$322,2,FALSE)*$N$5</f>
        <v>0</v>
      </c>
      <c r="O214" s="408"/>
      <c r="P214" s="639">
        <f t="shared" si="18"/>
        <v>-5393298.0710039753</v>
      </c>
      <c r="Q214" s="640"/>
      <c r="R214" s="640"/>
      <c r="S214" s="641"/>
      <c r="T214" s="388">
        <f>PCS!D214</f>
        <v>5354678.682022416</v>
      </c>
      <c r="U214" s="379">
        <f>Police!U214</f>
        <v>955387.77252739132</v>
      </c>
      <c r="V214" s="431">
        <f t="shared" si="19"/>
        <v>916768.38354583201</v>
      </c>
      <c r="W214" s="229"/>
      <c r="X214" s="229"/>
      <c r="Y214" s="229"/>
      <c r="Z214" s="99"/>
    </row>
    <row r="215" spans="1:26" x14ac:dyDescent="0.25">
      <c r="A215" s="208">
        <f>Données!A215</f>
        <v>5750</v>
      </c>
      <c r="B215" s="209" t="str">
        <f>Données!B215</f>
        <v>Les Clées</v>
      </c>
      <c r="C215" s="387">
        <f>Ressources!H215</f>
        <v>-183993.62381477305</v>
      </c>
      <c r="D215" s="387">
        <f>Ressources!L215</f>
        <v>0</v>
      </c>
      <c r="E215" s="430">
        <f>Ressources!T215</f>
        <v>-4608.0249743733075</v>
      </c>
      <c r="F215" s="388">
        <f t="shared" si="15"/>
        <v>-188601.64878914636</v>
      </c>
      <c r="G215" s="387">
        <f>'Besoins structurels'!I215</f>
        <v>-57468</v>
      </c>
      <c r="H215" s="387">
        <f>'Besoins structurels'!N215</f>
        <v>0</v>
      </c>
      <c r="I215" s="387">
        <f>'Besoins structurels'!V215</f>
        <v>0</v>
      </c>
      <c r="J215" s="389">
        <f t="shared" si="16"/>
        <v>-57468</v>
      </c>
      <c r="K215" s="387">
        <f>'Charges des villes'!N215</f>
        <v>89428.549750308826</v>
      </c>
      <c r="L215" s="387">
        <f>'Charges des villes'!U215</f>
        <v>19621.746605755765</v>
      </c>
      <c r="M215" s="378">
        <f t="shared" si="17"/>
        <v>109050.29635606459</v>
      </c>
      <c r="N215" s="388">
        <f>-VLOOKUP(A215,Paramètres!$B$23:$C$322,2,FALSE)*$N$5</f>
        <v>0</v>
      </c>
      <c r="O215" s="408"/>
      <c r="P215" s="639">
        <f t="shared" si="18"/>
        <v>-137019.35243308177</v>
      </c>
      <c r="Q215" s="640"/>
      <c r="R215" s="640"/>
      <c r="S215" s="641"/>
      <c r="T215" s="388">
        <f>PCS!D215</f>
        <v>190887.1121485389</v>
      </c>
      <c r="U215" s="379">
        <f>Police!U215</f>
        <v>28792.804402954192</v>
      </c>
      <c r="V215" s="431">
        <f t="shared" si="19"/>
        <v>82660.564118411319</v>
      </c>
      <c r="W215" s="229"/>
      <c r="X215" s="229"/>
      <c r="Y215" s="229"/>
      <c r="Z215" s="99"/>
    </row>
    <row r="216" spans="1:26" x14ac:dyDescent="0.25">
      <c r="A216" s="208">
        <f>Données!A216</f>
        <v>5752</v>
      </c>
      <c r="B216" s="209" t="str">
        <f>Données!B216</f>
        <v>Croy</v>
      </c>
      <c r="C216" s="387">
        <f>Ressources!H216</f>
        <v>-501325.2202490964</v>
      </c>
      <c r="D216" s="387">
        <f>Ressources!L216</f>
        <v>0</v>
      </c>
      <c r="E216" s="430">
        <f>Ressources!T216</f>
        <v>-30486.127988002285</v>
      </c>
      <c r="F216" s="388">
        <f t="shared" si="15"/>
        <v>-531811.34823709866</v>
      </c>
      <c r="G216" s="387">
        <f>'Besoins structurels'!I216</f>
        <v>-14484</v>
      </c>
      <c r="H216" s="387">
        <f>'Besoins structurels'!N216</f>
        <v>0</v>
      </c>
      <c r="I216" s="387">
        <f>'Besoins structurels'!V216</f>
        <v>0</v>
      </c>
      <c r="J216" s="389">
        <f t="shared" si="16"/>
        <v>-14484</v>
      </c>
      <c r="K216" s="387">
        <f>'Charges des villes'!N216</f>
        <v>185771.67808955908</v>
      </c>
      <c r="L216" s="387">
        <f>'Charges des villes'!U216</f>
        <v>40760.638567626665</v>
      </c>
      <c r="M216" s="378">
        <f t="shared" si="17"/>
        <v>226532.31665718573</v>
      </c>
      <c r="N216" s="388">
        <f>-VLOOKUP(A216,Paramètres!$B$23:$C$322,2,FALSE)*$N$5</f>
        <v>-94500</v>
      </c>
      <c r="O216" s="408"/>
      <c r="P216" s="639">
        <f t="shared" si="18"/>
        <v>-414263.03157991293</v>
      </c>
      <c r="Q216" s="640"/>
      <c r="R216" s="640"/>
      <c r="S216" s="641"/>
      <c r="T216" s="388">
        <f>PCS!D216</f>
        <v>396533.53709206788</v>
      </c>
      <c r="U216" s="379">
        <f>Police!U216</f>
        <v>59811.856569023395</v>
      </c>
      <c r="V216" s="431">
        <f t="shared" si="19"/>
        <v>42082.362081178348</v>
      </c>
      <c r="W216" s="229"/>
      <c r="X216" s="229"/>
      <c r="Y216" s="229"/>
      <c r="Z216" s="99"/>
    </row>
    <row r="217" spans="1:26" x14ac:dyDescent="0.25">
      <c r="A217" s="208">
        <f>Données!A217</f>
        <v>5754</v>
      </c>
      <c r="B217" s="209" t="str">
        <f>Données!B217</f>
        <v>Juriens</v>
      </c>
      <c r="C217" s="387">
        <f>Ressources!H217</f>
        <v>-439651.8500504322</v>
      </c>
      <c r="D217" s="387">
        <f>Ressources!L217</f>
        <v>0</v>
      </c>
      <c r="E217" s="430">
        <f>Ressources!T217</f>
        <v>-47746.653510731499</v>
      </c>
      <c r="F217" s="388">
        <f t="shared" si="15"/>
        <v>-487398.50356116367</v>
      </c>
      <c r="G217" s="387">
        <f>'Besoins structurels'!I217</f>
        <v>-70197</v>
      </c>
      <c r="H217" s="387">
        <f>'Besoins structurels'!N217</f>
        <v>-30934</v>
      </c>
      <c r="I217" s="387">
        <f>'Besoins structurels'!V217</f>
        <v>0</v>
      </c>
      <c r="J217" s="389">
        <f t="shared" si="16"/>
        <v>-101131</v>
      </c>
      <c r="K217" s="387">
        <f>'Charges des villes'!N217</f>
        <v>160418.2232634406</v>
      </c>
      <c r="L217" s="387">
        <f>'Charges des villes'!U217</f>
        <v>35197.772261871163</v>
      </c>
      <c r="M217" s="378">
        <f t="shared" si="17"/>
        <v>195615.99552531177</v>
      </c>
      <c r="N217" s="388">
        <f>-VLOOKUP(A217,Paramètres!$B$23:$C$322,2,FALSE)*$N$5</f>
        <v>0</v>
      </c>
      <c r="O217" s="408"/>
      <c r="P217" s="639">
        <f t="shared" si="18"/>
        <v>-392913.50803585188</v>
      </c>
      <c r="Q217" s="640"/>
      <c r="R217" s="640"/>
      <c r="S217" s="641"/>
      <c r="T217" s="388">
        <f>PCS!D217</f>
        <v>342416.05684377078</v>
      </c>
      <c r="U217" s="379">
        <f>Police!U217</f>
        <v>51648.94810426834</v>
      </c>
      <c r="V217" s="431">
        <f t="shared" si="19"/>
        <v>1151.4969121872491</v>
      </c>
      <c r="W217" s="229"/>
      <c r="X217" s="229"/>
      <c r="Y217" s="229"/>
      <c r="Z217" s="99"/>
    </row>
    <row r="218" spans="1:26" x14ac:dyDescent="0.25">
      <c r="A218" s="208">
        <f>Données!A218</f>
        <v>5755</v>
      </c>
      <c r="B218" s="209" t="str">
        <f>Données!B218</f>
        <v>Lignerolle</v>
      </c>
      <c r="C218" s="387">
        <f>Ressources!H218</f>
        <v>-667209.52052191796</v>
      </c>
      <c r="D218" s="387">
        <f>Ressources!L218</f>
        <v>-12141</v>
      </c>
      <c r="E218" s="430">
        <f>Ressources!T218</f>
        <v>-45577.560145024952</v>
      </c>
      <c r="F218" s="388">
        <f t="shared" si="15"/>
        <v>-724928.08066694287</v>
      </c>
      <c r="G218" s="387">
        <f>'Besoins structurels'!I218</f>
        <v>-74256</v>
      </c>
      <c r="H218" s="387">
        <f>'Besoins structurels'!N218</f>
        <v>-69859</v>
      </c>
      <c r="I218" s="387">
        <f>'Besoins structurels'!V218</f>
        <v>-49278</v>
      </c>
      <c r="J218" s="389">
        <f t="shared" si="16"/>
        <v>-193393</v>
      </c>
      <c r="K218" s="387">
        <f>'Charges des villes'!N218</f>
        <v>213429.99244532466</v>
      </c>
      <c r="L218" s="387">
        <f>'Charges des villes'!U218</f>
        <v>46829.219992087208</v>
      </c>
      <c r="M218" s="378">
        <f t="shared" si="17"/>
        <v>260259.21243741189</v>
      </c>
      <c r="N218" s="388">
        <f>-VLOOKUP(A218,Paramètres!$B$23:$C$322,2,FALSE)*$N$5</f>
        <v>-21900</v>
      </c>
      <c r="O218" s="408"/>
      <c r="P218" s="639">
        <f t="shared" si="18"/>
        <v>-679961.86822953098</v>
      </c>
      <c r="Q218" s="640"/>
      <c r="R218" s="640"/>
      <c r="S218" s="641"/>
      <c r="T218" s="388">
        <f>PCS!D218</f>
        <v>455570.78827202838</v>
      </c>
      <c r="U218" s="379">
        <f>Police!U218</f>
        <v>68716.847621483452</v>
      </c>
      <c r="V218" s="431">
        <f t="shared" si="19"/>
        <v>-155674.23233601917</v>
      </c>
      <c r="W218" s="229"/>
      <c r="X218" s="229"/>
      <c r="Y218" s="229"/>
      <c r="Z218" s="99"/>
    </row>
    <row r="219" spans="1:26" x14ac:dyDescent="0.25">
      <c r="A219" s="208">
        <f>Données!A219</f>
        <v>5756</v>
      </c>
      <c r="B219" s="209" t="str">
        <f>Données!B219</f>
        <v>Montcherand</v>
      </c>
      <c r="C219" s="387">
        <f>Ressources!H219</f>
        <v>-289264.03209113516</v>
      </c>
      <c r="D219" s="387">
        <f>Ressources!L219</f>
        <v>0</v>
      </c>
      <c r="E219" s="430">
        <f>Ressources!T219</f>
        <v>-92258.883079734776</v>
      </c>
      <c r="F219" s="388">
        <f t="shared" si="15"/>
        <v>-381522.91517086991</v>
      </c>
      <c r="G219" s="387">
        <f>'Besoins structurels'!I219</f>
        <v>0</v>
      </c>
      <c r="H219" s="387">
        <f>'Besoins structurels'!N219</f>
        <v>0</v>
      </c>
      <c r="I219" s="387">
        <f>'Besoins structurels'!V219</f>
        <v>0</v>
      </c>
      <c r="J219" s="389">
        <f t="shared" si="16"/>
        <v>0</v>
      </c>
      <c r="K219" s="387">
        <f>'Charges des villes'!N219</f>
        <v>225415.2619994898</v>
      </c>
      <c r="L219" s="387">
        <f>'Charges des villes'!U219</f>
        <v>49458.938609353441</v>
      </c>
      <c r="M219" s="378">
        <f t="shared" si="17"/>
        <v>274874.20060884324</v>
      </c>
      <c r="N219" s="388">
        <f>-VLOOKUP(A219,Paramètres!$B$23:$C$322,2,FALSE)*$N$5</f>
        <v>0</v>
      </c>
      <c r="O219" s="408"/>
      <c r="P219" s="639">
        <f t="shared" si="18"/>
        <v>-106648.71456202667</v>
      </c>
      <c r="Q219" s="640"/>
      <c r="R219" s="640"/>
      <c r="S219" s="641"/>
      <c r="T219" s="388">
        <f>PCS!D219</f>
        <v>481153.59711667791</v>
      </c>
      <c r="U219" s="379">
        <f>Police!U219</f>
        <v>72575.677077549481</v>
      </c>
      <c r="V219" s="431">
        <f t="shared" si="19"/>
        <v>447080.55963220075</v>
      </c>
      <c r="W219" s="229"/>
      <c r="X219" s="229"/>
      <c r="Y219" s="229"/>
      <c r="Z219" s="99"/>
    </row>
    <row r="220" spans="1:26" x14ac:dyDescent="0.25">
      <c r="A220" s="208">
        <f>Données!A220</f>
        <v>5757</v>
      </c>
      <c r="B220" s="209" t="str">
        <f>Données!B220</f>
        <v>Orbe</v>
      </c>
      <c r="C220" s="387">
        <f>Ressources!H220</f>
        <v>-8300605.6218029289</v>
      </c>
      <c r="D220" s="387">
        <f>Ressources!L220</f>
        <v>0</v>
      </c>
      <c r="E220" s="430">
        <f>Ressources!T220</f>
        <v>176675.21476309118</v>
      </c>
      <c r="F220" s="388">
        <f t="shared" si="15"/>
        <v>-8123930.4070398379</v>
      </c>
      <c r="G220" s="387">
        <f>'Besoins structurels'!I220</f>
        <v>0</v>
      </c>
      <c r="H220" s="387">
        <f>'Besoins structurels'!N220</f>
        <v>0</v>
      </c>
      <c r="I220" s="387">
        <f>'Besoins structurels'!V220</f>
        <v>0</v>
      </c>
      <c r="J220" s="389">
        <f t="shared" si="16"/>
        <v>0</v>
      </c>
      <c r="K220" s="387">
        <f>'Charges des villes'!N220</f>
        <v>553715.28830386605</v>
      </c>
      <c r="L220" s="387">
        <f>'Charges des villes'!U220</f>
        <v>567708.55502591445</v>
      </c>
      <c r="M220" s="378">
        <f t="shared" si="17"/>
        <v>1121423.8433297805</v>
      </c>
      <c r="N220" s="388">
        <f>-VLOOKUP(A220,Paramètres!$B$23:$C$322,2,FALSE)*$N$5</f>
        <v>-1030500</v>
      </c>
      <c r="O220" s="408"/>
      <c r="P220" s="639">
        <f>F220+J220+M220+N220</f>
        <v>-8033006.5637100572</v>
      </c>
      <c r="Q220" s="640"/>
      <c r="R220" s="640"/>
      <c r="S220" s="641"/>
      <c r="T220" s="388">
        <f>PCS!D220</f>
        <v>7834243.2315807557</v>
      </c>
      <c r="U220" s="379">
        <f>Police!U220</f>
        <v>1455915.6876398046</v>
      </c>
      <c r="V220" s="431">
        <f t="shared" si="19"/>
        <v>1257152.3555105031</v>
      </c>
      <c r="W220" s="229"/>
      <c r="X220" s="229"/>
      <c r="Y220" s="229"/>
      <c r="Z220" s="99"/>
    </row>
    <row r="221" spans="1:26" x14ac:dyDescent="0.25">
      <c r="A221" s="208">
        <f>Données!A221</f>
        <v>5758</v>
      </c>
      <c r="B221" s="209" t="str">
        <f>Données!B221</f>
        <v>La Praz</v>
      </c>
      <c r="C221" s="387">
        <f>Ressources!H221</f>
        <v>-224564.63483770652</v>
      </c>
      <c r="D221" s="387">
        <f>Ressources!L221</f>
        <v>0</v>
      </c>
      <c r="E221" s="430">
        <f>Ressources!T221</f>
        <v>-22190.438941728218</v>
      </c>
      <c r="F221" s="388">
        <f t="shared" si="15"/>
        <v>-246755.07377943472</v>
      </c>
      <c r="G221" s="387">
        <f>'Besoins structurels'!I221</f>
        <v>-37143</v>
      </c>
      <c r="H221" s="387">
        <f>'Besoins structurels'!N221</f>
        <v>-26269</v>
      </c>
      <c r="I221" s="387">
        <f>'Besoins structurels'!V221</f>
        <v>0</v>
      </c>
      <c r="J221" s="389">
        <f t="shared" si="16"/>
        <v>-63412</v>
      </c>
      <c r="K221" s="387">
        <f>'Charges des villes'!N221</f>
        <v>95421.184527391393</v>
      </c>
      <c r="L221" s="387">
        <f>'Charges des villes'!U221</f>
        <v>20936.605914388882</v>
      </c>
      <c r="M221" s="378">
        <f t="shared" si="17"/>
        <v>116357.79044178028</v>
      </c>
      <c r="N221" s="388">
        <f>-VLOOKUP(A221,Paramètres!$B$23:$C$322,2,FALSE)*$N$5</f>
        <v>0</v>
      </c>
      <c r="O221" s="408"/>
      <c r="P221" s="639">
        <f t="shared" si="18"/>
        <v>-193809.28333765443</v>
      </c>
      <c r="Q221" s="640"/>
      <c r="R221" s="640"/>
      <c r="S221" s="641"/>
      <c r="T221" s="388">
        <f>PCS!D221</f>
        <v>203678.51657086366</v>
      </c>
      <c r="U221" s="379">
        <f>Police!U221</f>
        <v>30722.2191309872</v>
      </c>
      <c r="V221" s="431">
        <f t="shared" si="19"/>
        <v>40591.452364196433</v>
      </c>
      <c r="W221" s="229"/>
      <c r="X221" s="229"/>
      <c r="Y221" s="229"/>
      <c r="Z221" s="99"/>
    </row>
    <row r="222" spans="1:26" x14ac:dyDescent="0.25">
      <c r="A222" s="208">
        <f>Données!A222</f>
        <v>5759</v>
      </c>
      <c r="B222" s="209" t="str">
        <f>Données!B222</f>
        <v>Premier</v>
      </c>
      <c r="C222" s="387">
        <f>Ressources!H222</f>
        <v>-325410.96303184197</v>
      </c>
      <c r="D222" s="387">
        <f>Ressources!L222</f>
        <v>-5191</v>
      </c>
      <c r="E222" s="430">
        <f>Ressources!T222</f>
        <v>-33790.874196686156</v>
      </c>
      <c r="F222" s="388">
        <f t="shared" si="15"/>
        <v>-364392.83722852811</v>
      </c>
      <c r="G222" s="387">
        <f>'Besoins structurels'!I222</f>
        <v>-45394</v>
      </c>
      <c r="H222" s="387">
        <f>'Besoins structurels'!N222</f>
        <v>-27868</v>
      </c>
      <c r="I222" s="387">
        <f>'Besoins structurels'!V222</f>
        <v>-24224</v>
      </c>
      <c r="J222" s="389">
        <f t="shared" si="16"/>
        <v>-97486</v>
      </c>
      <c r="K222" s="387">
        <f>'Charges des villes'!N222</f>
        <v>105101.59455190937</v>
      </c>
      <c r="L222" s="387">
        <f>'Charges des villes'!U222</f>
        <v>23060.609412950071</v>
      </c>
      <c r="M222" s="378">
        <f t="shared" si="17"/>
        <v>128162.20396485944</v>
      </c>
      <c r="N222" s="388">
        <f>-VLOOKUP(A222,Paramètres!$B$23:$C$322,2,FALSE)*$N$5</f>
        <v>0</v>
      </c>
      <c r="O222" s="408"/>
      <c r="P222" s="639">
        <f t="shared" si="18"/>
        <v>-333716.63326366869</v>
      </c>
      <c r="Q222" s="640"/>
      <c r="R222" s="640"/>
      <c r="S222" s="641"/>
      <c r="T222" s="388">
        <f>PCS!D222</f>
        <v>224341.55448384982</v>
      </c>
      <c r="U222" s="379">
        <f>Police!U222</f>
        <v>33838.96599934822</v>
      </c>
      <c r="V222" s="431">
        <f t="shared" si="19"/>
        <v>-75536.112780470648</v>
      </c>
      <c r="W222" s="229"/>
      <c r="X222" s="229"/>
      <c r="Y222" s="229"/>
      <c r="Z222" s="99"/>
    </row>
    <row r="223" spans="1:26" x14ac:dyDescent="0.25">
      <c r="A223" s="208">
        <f>Données!A223</f>
        <v>5760</v>
      </c>
      <c r="B223" s="209" t="str">
        <f>Données!B223</f>
        <v>Rances</v>
      </c>
      <c r="C223" s="387">
        <f>Ressources!H223</f>
        <v>-600713.00767382816</v>
      </c>
      <c r="D223" s="387">
        <f>Ressources!L223</f>
        <v>0</v>
      </c>
      <c r="E223" s="430">
        <f>Ressources!T223</f>
        <v>-53701.399262791951</v>
      </c>
      <c r="F223" s="388">
        <f t="shared" si="15"/>
        <v>-654414.40693662013</v>
      </c>
      <c r="G223" s="387">
        <f>'Besoins structurels'!I223</f>
        <v>-62225</v>
      </c>
      <c r="H223" s="387">
        <f>'Besoins structurels'!N223</f>
        <v>0</v>
      </c>
      <c r="I223" s="387">
        <f>'Besoins structurels'!V223</f>
        <v>0</v>
      </c>
      <c r="J223" s="389">
        <f t="shared" si="16"/>
        <v>-62225</v>
      </c>
      <c r="K223" s="387">
        <f>'Charges des villes'!N223</f>
        <v>234173.72821214888</v>
      </c>
      <c r="L223" s="387">
        <f>'Charges des villes'!U223</f>
        <v>51380.656060432615</v>
      </c>
      <c r="M223" s="378">
        <f t="shared" si="17"/>
        <v>285554.38427258149</v>
      </c>
      <c r="N223" s="388">
        <f>-VLOOKUP(A223,Paramètres!$B$23:$C$322,2,FALSE)*$N$5</f>
        <v>-19400</v>
      </c>
      <c r="O223" s="408"/>
      <c r="P223" s="639">
        <f t="shared" si="18"/>
        <v>-450485.02266403864</v>
      </c>
      <c r="Q223" s="640"/>
      <c r="R223" s="640"/>
      <c r="S223" s="641"/>
      <c r="T223" s="388">
        <f>PCS!D223</f>
        <v>499848.72665699874</v>
      </c>
      <c r="U223" s="379">
        <f>Police!U223</f>
        <v>75395.590910828498</v>
      </c>
      <c r="V223" s="431">
        <f t="shared" si="19"/>
        <v>124759.2949037886</v>
      </c>
      <c r="W223" s="229"/>
      <c r="X223" s="229"/>
      <c r="Y223" s="229"/>
      <c r="Z223" s="99"/>
    </row>
    <row r="224" spans="1:26" x14ac:dyDescent="0.25">
      <c r="A224" s="208">
        <f>Données!A224</f>
        <v>5761</v>
      </c>
      <c r="B224" s="209" t="str">
        <f>Données!B224</f>
        <v>Romainmôtier-Envy</v>
      </c>
      <c r="C224" s="387">
        <f>Ressources!H224</f>
        <v>-719101.24181432335</v>
      </c>
      <c r="D224" s="387">
        <f>Ressources!L224</f>
        <v>0</v>
      </c>
      <c r="E224" s="430">
        <f>Ressources!T224</f>
        <v>-71183.87013221161</v>
      </c>
      <c r="F224" s="388">
        <f t="shared" si="15"/>
        <v>-790285.11194653495</v>
      </c>
      <c r="G224" s="387">
        <f>'Besoins structurels'!I224</f>
        <v>-27496</v>
      </c>
      <c r="H224" s="387">
        <f>'Besoins structurels'!N224</f>
        <v>-1475</v>
      </c>
      <c r="I224" s="387">
        <f>'Besoins structurels'!V224</f>
        <v>0</v>
      </c>
      <c r="J224" s="389">
        <f t="shared" si="16"/>
        <v>-28971</v>
      </c>
      <c r="K224" s="387">
        <f>'Charges des villes'!N224</f>
        <v>258144.26732047915</v>
      </c>
      <c r="L224" s="387">
        <f>'Charges des villes'!U224</f>
        <v>56640.093294965089</v>
      </c>
      <c r="M224" s="378">
        <f t="shared" si="17"/>
        <v>314784.36061544425</v>
      </c>
      <c r="N224" s="388">
        <f>-VLOOKUP(A224,Paramètres!$B$23:$C$322,2,FALSE)*$N$5</f>
        <v>-59400</v>
      </c>
      <c r="O224" s="408"/>
      <c r="P224" s="639">
        <f t="shared" si="18"/>
        <v>-563871.75133109069</v>
      </c>
      <c r="Q224" s="640"/>
      <c r="R224" s="640"/>
      <c r="S224" s="641"/>
      <c r="T224" s="388">
        <f>PCS!D224</f>
        <v>551014.34434629779</v>
      </c>
      <c r="U224" s="379">
        <f>Police!U224</f>
        <v>83113.249822960541</v>
      </c>
      <c r="V224" s="431">
        <f t="shared" si="19"/>
        <v>70255.842838167635</v>
      </c>
      <c r="W224" s="229"/>
      <c r="X224" s="229"/>
      <c r="Y224" s="229"/>
      <c r="Z224" s="99"/>
    </row>
    <row r="225" spans="1:26" x14ac:dyDescent="0.25">
      <c r="A225" s="208">
        <f>Données!A225</f>
        <v>5762</v>
      </c>
      <c r="B225" s="209" t="str">
        <f>Données!B225</f>
        <v>Sergey</v>
      </c>
      <c r="C225" s="387">
        <f>Ressources!H225</f>
        <v>-163435.11825523982</v>
      </c>
      <c r="D225" s="387">
        <f>Ressources!L225</f>
        <v>0</v>
      </c>
      <c r="E225" s="430">
        <f>Ressources!T225</f>
        <v>-12446.733281400258</v>
      </c>
      <c r="F225" s="388">
        <f t="shared" si="15"/>
        <v>-175881.85153664008</v>
      </c>
      <c r="G225" s="387">
        <f>'Besoins structurels'!I225</f>
        <v>-4584</v>
      </c>
      <c r="H225" s="387">
        <f>'Besoins structurels'!N225</f>
        <v>0</v>
      </c>
      <c r="I225" s="387">
        <f>'Besoins structurels'!V225</f>
        <v>-6404</v>
      </c>
      <c r="J225" s="389">
        <f t="shared" si="16"/>
        <v>-10988</v>
      </c>
      <c r="K225" s="387">
        <f>'Charges des villes'!N225</f>
        <v>61309.263488613797</v>
      </c>
      <c r="L225" s="387">
        <f>'Charges des villes'!U225</f>
        <v>13452.022157554209</v>
      </c>
      <c r="M225" s="378">
        <f t="shared" si="17"/>
        <v>74761.285646168006</v>
      </c>
      <c r="N225" s="388">
        <f>-VLOOKUP(A225,Paramètres!$B$23:$C$322,2,FALSE)*$N$5</f>
        <v>-9200</v>
      </c>
      <c r="O225" s="408"/>
      <c r="P225" s="639">
        <f t="shared" si="18"/>
        <v>-121308.56589047208</v>
      </c>
      <c r="Q225" s="640"/>
      <c r="R225" s="640"/>
      <c r="S225" s="641"/>
      <c r="T225" s="388">
        <f>PCS!D225</f>
        <v>130865.90678224573</v>
      </c>
      <c r="U225" s="379">
        <f>Police!U225</f>
        <v>19739.396832953127</v>
      </c>
      <c r="V225" s="431">
        <f t="shared" si="19"/>
        <v>29296.73772472678</v>
      </c>
      <c r="W225" s="229"/>
      <c r="X225" s="229"/>
      <c r="Y225" s="229"/>
      <c r="Z225" s="99"/>
    </row>
    <row r="226" spans="1:26" x14ac:dyDescent="0.25">
      <c r="A226" s="208">
        <f>Données!A226</f>
        <v>5763</v>
      </c>
      <c r="B226" s="209" t="str">
        <f>Données!B226</f>
        <v>Valeyres-sous-Rances</v>
      </c>
      <c r="C226" s="387">
        <f>Ressources!H226</f>
        <v>-366772.27522702859</v>
      </c>
      <c r="D226" s="387">
        <f>Ressources!L226</f>
        <v>0</v>
      </c>
      <c r="E226" s="430">
        <f>Ressources!T226</f>
        <v>-9931.0194590703031</v>
      </c>
      <c r="F226" s="388">
        <f t="shared" si="15"/>
        <v>-376703.29468609887</v>
      </c>
      <c r="G226" s="387">
        <f>'Besoins structurels'!I226</f>
        <v>-18568</v>
      </c>
      <c r="H226" s="387">
        <f>'Besoins structurels'!N226</f>
        <v>0</v>
      </c>
      <c r="I226" s="387">
        <f>'Besoins structurels'!V226</f>
        <v>-78750</v>
      </c>
      <c r="J226" s="389">
        <f t="shared" si="16"/>
        <v>-97318</v>
      </c>
      <c r="K226" s="387">
        <f>'Charges des villes'!N226</f>
        <v>268746.62115685589</v>
      </c>
      <c r="L226" s="387">
        <f>'Charges des villes'!U226</f>
        <v>58966.382841008301</v>
      </c>
      <c r="M226" s="378">
        <f t="shared" si="17"/>
        <v>327713.0039978642</v>
      </c>
      <c r="N226" s="388">
        <f>-VLOOKUP(A226,Paramètres!$B$23:$C$322,2,FALSE)*$N$5</f>
        <v>0</v>
      </c>
      <c r="O226" s="408"/>
      <c r="P226" s="639">
        <f t="shared" si="18"/>
        <v>-146308.29068823467</v>
      </c>
      <c r="Q226" s="640"/>
      <c r="R226" s="640"/>
      <c r="S226" s="641"/>
      <c r="T226" s="388">
        <f>PCS!D226</f>
        <v>573645.29063194932</v>
      </c>
      <c r="U226" s="379">
        <f>Police!U226</f>
        <v>86526.829726403565</v>
      </c>
      <c r="V226" s="431">
        <f t="shared" si="19"/>
        <v>513863.82967011823</v>
      </c>
      <c r="W226" s="229"/>
      <c r="X226" s="229"/>
      <c r="Y226" s="229"/>
      <c r="Z226" s="99"/>
    </row>
    <row r="227" spans="1:26" x14ac:dyDescent="0.25">
      <c r="A227" s="208">
        <f>Données!A227</f>
        <v>5764</v>
      </c>
      <c r="B227" s="209" t="str">
        <f>Données!B227</f>
        <v>Vallorbe</v>
      </c>
      <c r="C227" s="387">
        <f>Ressources!H227</f>
        <v>-6402801.0915981177</v>
      </c>
      <c r="D227" s="387">
        <f>Ressources!L227</f>
        <v>-154969</v>
      </c>
      <c r="E227" s="430">
        <f>Ressources!T227</f>
        <v>620954.93840676453</v>
      </c>
      <c r="F227" s="388">
        <f t="shared" si="15"/>
        <v>-5936815.1531913532</v>
      </c>
      <c r="G227" s="387">
        <f>'Besoins structurels'!I227</f>
        <v>0</v>
      </c>
      <c r="H227" s="387">
        <f>'Besoins structurels'!N227</f>
        <v>-1219984</v>
      </c>
      <c r="I227" s="387">
        <f>'Besoins structurels'!V227</f>
        <v>0</v>
      </c>
      <c r="J227" s="389">
        <f t="shared" si="16"/>
        <v>-1219984</v>
      </c>
      <c r="K227" s="387">
        <f>'Charges des villes'!N227</f>
        <v>810566.13190904865</v>
      </c>
      <c r="L227" s="387">
        <f>'Charges des villes'!U227</f>
        <v>437747.00675108732</v>
      </c>
      <c r="M227" s="378">
        <f t="shared" si="17"/>
        <v>1248313.1386601359</v>
      </c>
      <c r="N227" s="388">
        <f>-VLOOKUP(A227,Paramètres!$B$23:$C$322,2,FALSE)*$N$5</f>
        <v>-347600</v>
      </c>
      <c r="O227" s="408"/>
      <c r="P227" s="639">
        <f t="shared" si="18"/>
        <v>-6256086.0145312175</v>
      </c>
      <c r="Q227" s="640"/>
      <c r="R227" s="640"/>
      <c r="S227" s="641"/>
      <c r="T227" s="388">
        <f>PCS!D227</f>
        <v>4258553.7184478156</v>
      </c>
      <c r="U227" s="379">
        <f>Police!U227</f>
        <v>742557.20722481154</v>
      </c>
      <c r="V227" s="431">
        <f t="shared" si="19"/>
        <v>-1254975.0888585905</v>
      </c>
      <c r="W227" s="229"/>
      <c r="X227" s="229"/>
      <c r="Y227" s="229"/>
      <c r="Z227" s="99"/>
    </row>
    <row r="228" spans="1:26" x14ac:dyDescent="0.25">
      <c r="A228" s="208">
        <f>Données!A228</f>
        <v>5765</v>
      </c>
      <c r="B228" s="209" t="str">
        <f>Données!B228</f>
        <v>Vaulion</v>
      </c>
      <c r="C228" s="387">
        <f>Ressources!H228</f>
        <v>-745000.93369033444</v>
      </c>
      <c r="D228" s="387">
        <f>Ressources!L228</f>
        <v>-22904</v>
      </c>
      <c r="E228" s="430">
        <f>Ressources!T228</f>
        <v>-35346.183079734779</v>
      </c>
      <c r="F228" s="388">
        <f t="shared" si="15"/>
        <v>-803251.11677006923</v>
      </c>
      <c r="G228" s="387">
        <f>'Besoins structurels'!I228</f>
        <v>-99211</v>
      </c>
      <c r="H228" s="387">
        <f>'Besoins structurels'!N228</f>
        <v>-76927</v>
      </c>
      <c r="I228" s="387">
        <f>'Besoins structurels'!V228</f>
        <v>0</v>
      </c>
      <c r="J228" s="389">
        <f t="shared" si="16"/>
        <v>-176138</v>
      </c>
      <c r="K228" s="387">
        <f>'Charges des villes'!N228</f>
        <v>225415.2619994898</v>
      </c>
      <c r="L228" s="387">
        <f>'Charges des villes'!U228</f>
        <v>49458.938609353441</v>
      </c>
      <c r="M228" s="378">
        <f t="shared" si="17"/>
        <v>274874.20060884324</v>
      </c>
      <c r="N228" s="388">
        <f>-VLOOKUP(A228,Paramètres!$B$23:$C$322,2,FALSE)*$N$5</f>
        <v>0</v>
      </c>
      <c r="O228" s="408"/>
      <c r="P228" s="639">
        <f t="shared" si="18"/>
        <v>-704514.91616122599</v>
      </c>
      <c r="Q228" s="640"/>
      <c r="R228" s="640"/>
      <c r="S228" s="641"/>
      <c r="T228" s="388">
        <f>PCS!D228</f>
        <v>481153.59711667791</v>
      </c>
      <c r="U228" s="379">
        <f>Police!U228</f>
        <v>72575.677077549481</v>
      </c>
      <c r="V228" s="431">
        <f t="shared" si="19"/>
        <v>-150785.64196699861</v>
      </c>
      <c r="W228" s="229"/>
      <c r="X228" s="229"/>
      <c r="Y228" s="229"/>
      <c r="Z228" s="99"/>
    </row>
    <row r="229" spans="1:26" x14ac:dyDescent="0.25">
      <c r="A229" s="208">
        <f>Données!A229</f>
        <v>5766</v>
      </c>
      <c r="B229" s="209" t="str">
        <f>Données!B229</f>
        <v>Vuiteboeuf</v>
      </c>
      <c r="C229" s="387">
        <f>Ressources!H229</f>
        <v>-779051.95242321014</v>
      </c>
      <c r="D229" s="387">
        <f>Ressources!L229</f>
        <v>0</v>
      </c>
      <c r="E229" s="430">
        <f>Ressources!T229</f>
        <v>-43880.148321879373</v>
      </c>
      <c r="F229" s="388">
        <f t="shared" si="15"/>
        <v>-822932.10074508947</v>
      </c>
      <c r="G229" s="387">
        <f>'Besoins structurels'!I229</f>
        <v>-3709</v>
      </c>
      <c r="H229" s="387">
        <f>'Besoins structurels'!N229</f>
        <v>0</v>
      </c>
      <c r="I229" s="387">
        <f>'Besoins structurels'!V229</f>
        <v>0</v>
      </c>
      <c r="J229" s="389">
        <f t="shared" si="16"/>
        <v>-3709</v>
      </c>
      <c r="K229" s="387">
        <f>'Charges des villes'!N229</f>
        <v>279809.94689916214</v>
      </c>
      <c r="L229" s="387">
        <f>'Charges des villes'!U229</f>
        <v>61393.815410792515</v>
      </c>
      <c r="M229" s="378">
        <f t="shared" si="17"/>
        <v>341203.76230995468</v>
      </c>
      <c r="N229" s="388">
        <f>-VLOOKUP(A229,Paramètres!$B$23:$C$322,2,FALSE)*$N$5</f>
        <v>-48600</v>
      </c>
      <c r="O229" s="408"/>
      <c r="P229" s="639">
        <f t="shared" si="18"/>
        <v>-534037.33843513485</v>
      </c>
      <c r="Q229" s="640"/>
      <c r="R229" s="640"/>
      <c r="S229" s="641"/>
      <c r="T229" s="388">
        <f>PCS!D229</f>
        <v>597260.1911039335</v>
      </c>
      <c r="U229" s="379">
        <f>Police!U229</f>
        <v>90088.82614738759</v>
      </c>
      <c r="V229" s="431">
        <f t="shared" si="19"/>
        <v>153311.67881618624</v>
      </c>
      <c r="W229" s="229"/>
      <c r="X229" s="229"/>
      <c r="Y229" s="229"/>
      <c r="Z229" s="99"/>
    </row>
    <row r="230" spans="1:26" x14ac:dyDescent="0.25">
      <c r="A230" s="208">
        <f>Données!A230</f>
        <v>5785</v>
      </c>
      <c r="B230" s="209" t="str">
        <f>Données!B230</f>
        <v>Corcelles-le-Jorat</v>
      </c>
      <c r="C230" s="387">
        <f>Ressources!H230</f>
        <v>-503799.28582390567</v>
      </c>
      <c r="D230" s="387">
        <f>Ressources!L230</f>
        <v>0</v>
      </c>
      <c r="E230" s="430">
        <f>Ressources!T230</f>
        <v>-24907.993439238548</v>
      </c>
      <c r="F230" s="388">
        <f t="shared" si="15"/>
        <v>-528707.27926314424</v>
      </c>
      <c r="G230" s="387">
        <f>'Besoins structurels'!I230</f>
        <v>-42876</v>
      </c>
      <c r="H230" s="387">
        <f>'Besoins structurels'!N230</f>
        <v>-19260</v>
      </c>
      <c r="I230" s="387">
        <f>'Besoins structurels'!V230</f>
        <v>0</v>
      </c>
      <c r="J230" s="389">
        <f t="shared" si="16"/>
        <v>-62136</v>
      </c>
      <c r="K230" s="387">
        <f>'Charges des villes'!N230</f>
        <v>230024.98105878406</v>
      </c>
      <c r="L230" s="387">
        <f>'Charges des villes'!U230</f>
        <v>50470.368846763537</v>
      </c>
      <c r="M230" s="378">
        <f t="shared" si="17"/>
        <v>280495.34990554757</v>
      </c>
      <c r="N230" s="388">
        <f>-VLOOKUP(A230,Paramètres!$B$23:$C$322,2,FALSE)*$N$5</f>
        <v>0</v>
      </c>
      <c r="O230" s="408"/>
      <c r="P230" s="639">
        <f t="shared" si="18"/>
        <v>-310347.92935759667</v>
      </c>
      <c r="Q230" s="640"/>
      <c r="R230" s="640"/>
      <c r="S230" s="641"/>
      <c r="T230" s="388">
        <f>PCS!D230</f>
        <v>490993.13898000465</v>
      </c>
      <c r="U230" s="379">
        <f>Police!U230</f>
        <v>74059.842252959483</v>
      </c>
      <c r="V230" s="431">
        <f t="shared" si="19"/>
        <v>254705.05187536747</v>
      </c>
      <c r="W230" s="229"/>
      <c r="X230" s="229"/>
      <c r="Y230" s="229"/>
      <c r="Z230" s="99"/>
    </row>
    <row r="231" spans="1:26" x14ac:dyDescent="0.25">
      <c r="A231" s="208">
        <f>Données!A231</f>
        <v>5790</v>
      </c>
      <c r="B231" s="209" t="str">
        <f>Données!B231</f>
        <v>Maracon</v>
      </c>
      <c r="C231" s="387">
        <f>Ressources!H231</f>
        <v>-633810.0115273901</v>
      </c>
      <c r="D231" s="387">
        <f>Ressources!L231</f>
        <v>0</v>
      </c>
      <c r="E231" s="430">
        <f>Ressources!T231</f>
        <v>-80780.035955765008</v>
      </c>
      <c r="F231" s="388">
        <f t="shared" si="15"/>
        <v>-714590.04748315515</v>
      </c>
      <c r="G231" s="387">
        <f>'Besoins structurels'!I231</f>
        <v>0</v>
      </c>
      <c r="H231" s="387">
        <f>'Besoins structurels'!N231</f>
        <v>-21962</v>
      </c>
      <c r="I231" s="387">
        <f>'Besoins structurels'!V231</f>
        <v>-22012</v>
      </c>
      <c r="J231" s="389">
        <f t="shared" si="16"/>
        <v>-43974</v>
      </c>
      <c r="K231" s="387">
        <f>'Charges des villes'!N231</f>
        <v>262293.01447384391</v>
      </c>
      <c r="L231" s="387">
        <f>'Charges des villes'!U231</f>
        <v>57550.380508634174</v>
      </c>
      <c r="M231" s="378">
        <f t="shared" si="17"/>
        <v>319843.39498247812</v>
      </c>
      <c r="N231" s="388">
        <f>-VLOOKUP(A231,Paramètres!$B$23:$C$322,2,FALSE)*$N$5</f>
        <v>-1100</v>
      </c>
      <c r="O231" s="408"/>
      <c r="P231" s="639">
        <f t="shared" si="18"/>
        <v>-439820.65250067704</v>
      </c>
      <c r="Q231" s="640"/>
      <c r="R231" s="640"/>
      <c r="S231" s="641"/>
      <c r="T231" s="388">
        <f>PCS!D231</f>
        <v>559869.93202329194</v>
      </c>
      <c r="U231" s="379">
        <f>Police!U231</f>
        <v>84448.998480829556</v>
      </c>
      <c r="V231" s="431">
        <f t="shared" si="19"/>
        <v>204498.27800344446</v>
      </c>
      <c r="W231" s="229"/>
      <c r="X231" s="229"/>
      <c r="Y231" s="229"/>
      <c r="Z231" s="99"/>
    </row>
    <row r="232" spans="1:26" x14ac:dyDescent="0.25">
      <c r="A232" s="208">
        <f>Données!A232</f>
        <v>5792</v>
      </c>
      <c r="B232" s="209" t="str">
        <f>Données!B232</f>
        <v>Montpreveyres</v>
      </c>
      <c r="C232" s="387">
        <f>Ressources!H232</f>
        <v>-654221.67991927802</v>
      </c>
      <c r="D232" s="387">
        <f>Ressources!L232</f>
        <v>0</v>
      </c>
      <c r="E232" s="430">
        <f>Ressources!T232</f>
        <v>-12212.111975596752</v>
      </c>
      <c r="F232" s="388">
        <f t="shared" si="15"/>
        <v>-666433.79189487477</v>
      </c>
      <c r="G232" s="387">
        <f>'Besoins structurels'!I232</f>
        <v>0</v>
      </c>
      <c r="H232" s="387">
        <f>'Besoins structurels'!N232</f>
        <v>-36279</v>
      </c>
      <c r="I232" s="387">
        <f>'Besoins structurels'!V232</f>
        <v>0</v>
      </c>
      <c r="J232" s="389">
        <f t="shared" si="16"/>
        <v>-36279</v>
      </c>
      <c r="K232" s="387">
        <f>'Charges des villes'!N232</f>
        <v>301014.65457191586</v>
      </c>
      <c r="L232" s="387">
        <f>'Charges des villes'!U232</f>
        <v>66046.394502878931</v>
      </c>
      <c r="M232" s="378">
        <f t="shared" si="17"/>
        <v>367061.04907479481</v>
      </c>
      <c r="N232" s="388">
        <f>-VLOOKUP(A232,Paramètres!$B$23:$C$322,2,FALSE)*$N$5</f>
        <v>-64900</v>
      </c>
      <c r="O232" s="408"/>
      <c r="P232" s="639">
        <f t="shared" si="18"/>
        <v>-400551.74282007996</v>
      </c>
      <c r="Q232" s="640"/>
      <c r="R232" s="640"/>
      <c r="S232" s="641"/>
      <c r="T232" s="388">
        <f>PCS!D232</f>
        <v>642522.08367523656</v>
      </c>
      <c r="U232" s="379">
        <f>Police!U232</f>
        <v>96915.985954273638</v>
      </c>
      <c r="V232" s="431">
        <f t="shared" si="19"/>
        <v>338886.32680943026</v>
      </c>
      <c r="W232" s="229"/>
      <c r="X232" s="229"/>
      <c r="Y232" s="229"/>
      <c r="Z232" s="99"/>
    </row>
    <row r="233" spans="1:26" x14ac:dyDescent="0.25">
      <c r="A233" s="208">
        <f>Données!A233</f>
        <v>5798</v>
      </c>
      <c r="B233" s="209" t="str">
        <f>Données!B233</f>
        <v>Ropraz</v>
      </c>
      <c r="C233" s="387">
        <f>Ressources!H233</f>
        <v>-552603.58869366476</v>
      </c>
      <c r="D233" s="387">
        <f>Ressources!L233</f>
        <v>0</v>
      </c>
      <c r="E233" s="430">
        <f>Ressources!T233</f>
        <v>-34892.914517749887</v>
      </c>
      <c r="F233" s="388">
        <f t="shared" si="15"/>
        <v>-587496.50321141467</v>
      </c>
      <c r="G233" s="387">
        <f>'Besoins structurels'!I233</f>
        <v>-6465</v>
      </c>
      <c r="H233" s="387">
        <f>'Besoins structurels'!N233</f>
        <v>-28845</v>
      </c>
      <c r="I233" s="387">
        <f>'Besoins structurels'!V233</f>
        <v>-30122</v>
      </c>
      <c r="J233" s="389">
        <f t="shared" si="16"/>
        <v>-65432</v>
      </c>
      <c r="K233" s="387">
        <f>'Charges des villes'!N233</f>
        <v>243854.13823666688</v>
      </c>
      <c r="L233" s="387">
        <f>'Charges des villes'!U233</f>
        <v>53504.659558993808</v>
      </c>
      <c r="M233" s="378">
        <f t="shared" si="17"/>
        <v>297358.79779566068</v>
      </c>
      <c r="N233" s="388">
        <f>-VLOOKUP(A233,Paramètres!$B$23:$C$322,2,FALSE)*$N$5</f>
        <v>0</v>
      </c>
      <c r="O233" s="408"/>
      <c r="P233" s="639">
        <f t="shared" si="18"/>
        <v>-355569.705415754</v>
      </c>
      <c r="Q233" s="640"/>
      <c r="R233" s="640"/>
      <c r="S233" s="641"/>
      <c r="T233" s="388">
        <f>PCS!D233</f>
        <v>520511.76456998492</v>
      </c>
      <c r="U233" s="379">
        <f>Police!U233</f>
        <v>78512.337779189518</v>
      </c>
      <c r="V233" s="431">
        <f t="shared" si="19"/>
        <v>243454.39693342044</v>
      </c>
      <c r="W233" s="229"/>
      <c r="X233" s="229"/>
      <c r="Y233" s="229"/>
      <c r="Z233" s="99"/>
    </row>
    <row r="234" spans="1:26" x14ac:dyDescent="0.25">
      <c r="A234" s="208">
        <f>Données!A234</f>
        <v>5799</v>
      </c>
      <c r="B234" s="209" t="str">
        <f>Données!B234</f>
        <v>Servion</v>
      </c>
      <c r="C234" s="387">
        <f>Ressources!H234</f>
        <v>-1632458.9754468466</v>
      </c>
      <c r="D234" s="387">
        <f>Ressources!L234</f>
        <v>0</v>
      </c>
      <c r="E234" s="430">
        <f>Ressources!T234</f>
        <v>-154598.83109744184</v>
      </c>
      <c r="F234" s="388">
        <f t="shared" si="15"/>
        <v>-1787057.8065442885</v>
      </c>
      <c r="G234" s="387">
        <f>'Besoins structurels'!I234</f>
        <v>0</v>
      </c>
      <c r="H234" s="387">
        <f>'Besoins structurels'!N234</f>
        <v>-87299</v>
      </c>
      <c r="I234" s="387">
        <f>'Besoins structurels'!V234</f>
        <v>-146521</v>
      </c>
      <c r="J234" s="389">
        <f t="shared" si="16"/>
        <v>-233820</v>
      </c>
      <c r="K234" s="387">
        <f>'Charges des villes'!N234</f>
        <v>733254.60522381973</v>
      </c>
      <c r="L234" s="387">
        <f>'Charges des villes'!U234</f>
        <v>225346.65689496824</v>
      </c>
      <c r="M234" s="378">
        <f t="shared" si="17"/>
        <v>958601.26211878797</v>
      </c>
      <c r="N234" s="388">
        <f>-VLOOKUP(A234,Paramètres!$B$23:$C$322,2,FALSE)*$N$5</f>
        <v>0</v>
      </c>
      <c r="O234" s="408"/>
      <c r="P234" s="639">
        <f t="shared" si="18"/>
        <v>-1062276.5444255006</v>
      </c>
      <c r="Q234" s="640"/>
      <c r="R234" s="640"/>
      <c r="S234" s="641"/>
      <c r="T234" s="388">
        <f>PCS!D234</f>
        <v>2192249.9271491994</v>
      </c>
      <c r="U234" s="379">
        <f>Police!U234</f>
        <v>361498.28307269217</v>
      </c>
      <c r="V234" s="431">
        <f t="shared" si="19"/>
        <v>1491471.665796391</v>
      </c>
      <c r="W234" s="229"/>
      <c r="X234" s="229"/>
      <c r="Y234" s="229"/>
      <c r="Z234" s="99"/>
    </row>
    <row r="235" spans="1:26" x14ac:dyDescent="0.25">
      <c r="A235" s="208">
        <f>Données!A235</f>
        <v>5803</v>
      </c>
      <c r="B235" s="209" t="str">
        <f>Données!B235</f>
        <v>Vulliens</v>
      </c>
      <c r="C235" s="387">
        <f>Ressources!H235</f>
        <v>-671716.84177982621</v>
      </c>
      <c r="D235" s="387">
        <f>Ressources!L235</f>
        <v>0</v>
      </c>
      <c r="E235" s="430">
        <f>Ressources!T235</f>
        <v>-59694.63357683731</v>
      </c>
      <c r="F235" s="388">
        <f t="shared" si="15"/>
        <v>-731411.47535666358</v>
      </c>
      <c r="G235" s="387">
        <f>'Besoins structurels'!I235</f>
        <v>-17276</v>
      </c>
      <c r="H235" s="387">
        <f>'Besoins structurels'!N235</f>
        <v>-2337</v>
      </c>
      <c r="I235" s="387">
        <f>'Besoins structurels'!V235</f>
        <v>-75181</v>
      </c>
      <c r="J235" s="389">
        <f t="shared" si="16"/>
        <v>-94794</v>
      </c>
      <c r="K235" s="387">
        <f>'Charges des villes'!N235</f>
        <v>289490.35692368017</v>
      </c>
      <c r="L235" s="387">
        <f>'Charges des villes'!U235</f>
        <v>63517.818909353708</v>
      </c>
      <c r="M235" s="378">
        <f t="shared" si="17"/>
        <v>353008.17583303386</v>
      </c>
      <c r="N235" s="388">
        <f>-VLOOKUP(A235,Paramètres!$B$23:$C$322,2,FALSE)*$N$5</f>
        <v>0</v>
      </c>
      <c r="O235" s="408"/>
      <c r="P235" s="639">
        <f t="shared" si="18"/>
        <v>-473197.29952362971</v>
      </c>
      <c r="Q235" s="640"/>
      <c r="R235" s="640"/>
      <c r="S235" s="641"/>
      <c r="T235" s="388">
        <f>PCS!D235</f>
        <v>617923.22901691974</v>
      </c>
      <c r="U235" s="379">
        <f>Police!U235</f>
        <v>93205.57301574861</v>
      </c>
      <c r="V235" s="431">
        <f t="shared" si="19"/>
        <v>237931.50250903863</v>
      </c>
      <c r="W235" s="229"/>
      <c r="X235" s="229"/>
      <c r="Y235" s="229"/>
      <c r="Z235" s="99"/>
    </row>
    <row r="236" spans="1:26" x14ac:dyDescent="0.25">
      <c r="A236" s="208">
        <f>Données!A236</f>
        <v>5804</v>
      </c>
      <c r="B236" s="209" t="str">
        <f>Données!B236</f>
        <v>Jorat-Menthue</v>
      </c>
      <c r="C236" s="387">
        <f>Ressources!H236</f>
        <v>-1600066.1309091602</v>
      </c>
      <c r="D236" s="387">
        <f>Ressources!L236</f>
        <v>0</v>
      </c>
      <c r="E236" s="430">
        <f>Ressources!T236</f>
        <v>-173212.69865779552</v>
      </c>
      <c r="F236" s="388">
        <f t="shared" si="15"/>
        <v>-1773278.8295669558</v>
      </c>
      <c r="G236" s="387">
        <f>'Besoins structurels'!I236</f>
        <v>-57100</v>
      </c>
      <c r="H236" s="387">
        <f>'Besoins structurels'!N236</f>
        <v>-86003</v>
      </c>
      <c r="I236" s="387">
        <f>'Besoins structurels'!V236</f>
        <v>-52090</v>
      </c>
      <c r="J236" s="389">
        <f t="shared" si="16"/>
        <v>-195193</v>
      </c>
      <c r="K236" s="387">
        <f>'Charges des villes'!N236</f>
        <v>588687.56944210618</v>
      </c>
      <c r="L236" s="387">
        <f>'Charges des villes'!U236</f>
        <v>159401.40541583032</v>
      </c>
      <c r="M236" s="378">
        <f t="shared" si="17"/>
        <v>748088.9748579365</v>
      </c>
      <c r="N236" s="388">
        <f>-VLOOKUP(A236,Paramètres!$B$23:$C$322,2,FALSE)*$N$5</f>
        <v>-113200</v>
      </c>
      <c r="O236" s="408"/>
      <c r="P236" s="639">
        <f t="shared" si="18"/>
        <v>-1333582.8547090194</v>
      </c>
      <c r="Q236" s="640"/>
      <c r="R236" s="640"/>
      <c r="S236" s="641"/>
      <c r="T236" s="388">
        <f>PCS!D236</f>
        <v>1550711.7976602954</v>
      </c>
      <c r="U236" s="379">
        <f>Police!U236</f>
        <v>248363.6648913708</v>
      </c>
      <c r="V236" s="431">
        <f t="shared" si="19"/>
        <v>465492.60784264677</v>
      </c>
      <c r="W236" s="229"/>
      <c r="X236" s="229"/>
      <c r="Y236" s="229"/>
      <c r="Z236" s="99"/>
    </row>
    <row r="237" spans="1:26" x14ac:dyDescent="0.25">
      <c r="A237" s="208">
        <f>Données!A237</f>
        <v>5805</v>
      </c>
      <c r="B237" s="209" t="str">
        <f>Données!B237</f>
        <v>Oron</v>
      </c>
      <c r="C237" s="387">
        <f>Ressources!H237</f>
        <v>-6719554.5495222062</v>
      </c>
      <c r="D237" s="387">
        <f>Ressources!L237</f>
        <v>0</v>
      </c>
      <c r="E237" s="430">
        <f>Ressources!T237</f>
        <v>-491999.22560514743</v>
      </c>
      <c r="F237" s="388">
        <f t="shared" si="15"/>
        <v>-7211553.7751273531</v>
      </c>
      <c r="G237" s="387">
        <f>'Besoins structurels'!I237</f>
        <v>0</v>
      </c>
      <c r="H237" s="387">
        <f>'Besoins structurels'!N237</f>
        <v>-33452</v>
      </c>
      <c r="I237" s="387">
        <f>'Besoins structurels'!V237</f>
        <v>0</v>
      </c>
      <c r="J237" s="389">
        <f t="shared" si="16"/>
        <v>-33452</v>
      </c>
      <c r="K237" s="387">
        <f>'Charges des villes'!N237</f>
        <v>668004.72531805979</v>
      </c>
      <c r="L237" s="387">
        <f>'Charges des villes'!U237</f>
        <v>641752.48563670262</v>
      </c>
      <c r="M237" s="378">
        <f t="shared" si="17"/>
        <v>1309757.2109547625</v>
      </c>
      <c r="N237" s="388">
        <f>-VLOOKUP(A237,Paramètres!$B$23:$C$322,2,FALSE)*$N$5</f>
        <v>-25500</v>
      </c>
      <c r="O237" s="408"/>
      <c r="P237" s="639">
        <f t="shared" si="18"/>
        <v>-5960748.5641725902</v>
      </c>
      <c r="Q237" s="640"/>
      <c r="R237" s="640"/>
      <c r="S237" s="641"/>
      <c r="T237" s="388">
        <f>PCS!D237</f>
        <v>6243189.3122808207</v>
      </c>
      <c r="U237" s="379">
        <f>Police!U237</f>
        <v>1134743.6087760061</v>
      </c>
      <c r="V237" s="431">
        <f t="shared" si="19"/>
        <v>1417184.3568842367</v>
      </c>
      <c r="W237" s="229"/>
      <c r="X237" s="229"/>
      <c r="Y237" s="229"/>
      <c r="Z237" s="99"/>
    </row>
    <row r="238" spans="1:26" x14ac:dyDescent="0.25">
      <c r="A238" s="208">
        <f>Données!A238</f>
        <v>5806</v>
      </c>
      <c r="B238" s="209" t="str">
        <f>Données!B238</f>
        <v>Jorat-Mézières</v>
      </c>
      <c r="C238" s="387">
        <f>Ressources!H238</f>
        <v>-2990272.1695159953</v>
      </c>
      <c r="D238" s="387">
        <f>Ressources!L238</f>
        <v>0</v>
      </c>
      <c r="E238" s="430">
        <f>Ressources!T238</f>
        <v>-193927.300145755</v>
      </c>
      <c r="F238" s="388">
        <f t="shared" si="15"/>
        <v>-3184199.4696617504</v>
      </c>
      <c r="G238" s="387">
        <f>'Besoins structurels'!I238</f>
        <v>0</v>
      </c>
      <c r="H238" s="387">
        <f>'Besoins structurels'!N238</f>
        <v>-61064</v>
      </c>
      <c r="I238" s="387">
        <f>'Besoins structurels'!V238</f>
        <v>0</v>
      </c>
      <c r="J238" s="389">
        <f t="shared" si="16"/>
        <v>-61064</v>
      </c>
      <c r="K238" s="387">
        <f>'Charges des villes'!N238</f>
        <v>891070.56527897215</v>
      </c>
      <c r="L238" s="387">
        <f>'Charges des villes'!U238</f>
        <v>322545.102710078</v>
      </c>
      <c r="M238" s="378">
        <f t="shared" si="17"/>
        <v>1213615.66798905</v>
      </c>
      <c r="N238" s="388">
        <f>-VLOOKUP(A238,Paramètres!$B$23:$C$322,2,FALSE)*$N$5</f>
        <v>-136700</v>
      </c>
      <c r="O238" s="408"/>
      <c r="P238" s="639">
        <f t="shared" si="18"/>
        <v>-2168347.8016727003</v>
      </c>
      <c r="Q238" s="640"/>
      <c r="R238" s="640"/>
      <c r="S238" s="641"/>
      <c r="T238" s="388">
        <f>PCS!D238</f>
        <v>3137829.9002148993</v>
      </c>
      <c r="U238" s="379">
        <f>Police!U238</f>
        <v>530622.59929755947</v>
      </c>
      <c r="V238" s="431">
        <f t="shared" si="19"/>
        <v>1500104.6978397584</v>
      </c>
      <c r="W238" s="229"/>
      <c r="X238" s="229"/>
      <c r="Y238" s="229"/>
      <c r="Z238" s="99"/>
    </row>
    <row r="239" spans="1:26" x14ac:dyDescent="0.25">
      <c r="A239" s="208">
        <f>Données!A239</f>
        <v>5812</v>
      </c>
      <c r="B239" s="209" t="str">
        <f>Données!B239</f>
        <v>Champtauroz</v>
      </c>
      <c r="C239" s="387">
        <f>Ressources!H239</f>
        <v>-306882.08415127505</v>
      </c>
      <c r="D239" s="387">
        <f>Ressources!L239</f>
        <v>-11248</v>
      </c>
      <c r="E239" s="430">
        <f>Ressources!T239</f>
        <v>-21714.659046274064</v>
      </c>
      <c r="F239" s="388">
        <f t="shared" si="15"/>
        <v>-339844.74319754913</v>
      </c>
      <c r="G239" s="387">
        <f>'Besoins structurels'!I239</f>
        <v>-15833</v>
      </c>
      <c r="H239" s="387">
        <f>'Besoins structurels'!N239</f>
        <v>0</v>
      </c>
      <c r="I239" s="387">
        <f>'Besoins structurels'!V239</f>
        <v>-37901</v>
      </c>
      <c r="J239" s="389">
        <f t="shared" si="16"/>
        <v>-53734</v>
      </c>
      <c r="K239" s="387">
        <f>'Charges des villes'!N239</f>
        <v>90350.493562167685</v>
      </c>
      <c r="L239" s="387">
        <f>'Charges des villes'!U239</f>
        <v>19824.03265323778</v>
      </c>
      <c r="M239" s="378">
        <f t="shared" si="17"/>
        <v>110174.52621540547</v>
      </c>
      <c r="N239" s="388">
        <f>-VLOOKUP(A239,Paramètres!$B$23:$C$322,2,FALSE)*$N$5</f>
        <v>-5200</v>
      </c>
      <c r="O239" s="408"/>
      <c r="P239" s="639">
        <f t="shared" si="18"/>
        <v>-288604.2169821437</v>
      </c>
      <c r="Q239" s="640"/>
      <c r="R239" s="640"/>
      <c r="S239" s="641"/>
      <c r="T239" s="388">
        <f>PCS!D239</f>
        <v>192855.02052120425</v>
      </c>
      <c r="U239" s="379">
        <f>Police!U239</f>
        <v>29089.637438036189</v>
      </c>
      <c r="V239" s="431">
        <f t="shared" si="19"/>
        <v>-66659.559022903268</v>
      </c>
      <c r="W239" s="229"/>
      <c r="X239" s="229"/>
      <c r="Y239" s="229"/>
      <c r="Z239" s="99"/>
    </row>
    <row r="240" spans="1:26" x14ac:dyDescent="0.25">
      <c r="A240" s="208">
        <f>Données!A240</f>
        <v>5813</v>
      </c>
      <c r="B240" s="209" t="str">
        <f>Données!B240</f>
        <v>Chevroux</v>
      </c>
      <c r="C240" s="387">
        <f>Ressources!H240</f>
        <v>-283195.95664198353</v>
      </c>
      <c r="D240" s="387">
        <f>Ressources!L240</f>
        <v>0</v>
      </c>
      <c r="E240" s="430">
        <f>Ressources!T240</f>
        <v>-71671.940295437045</v>
      </c>
      <c r="F240" s="388">
        <f t="shared" si="15"/>
        <v>-354867.89693742059</v>
      </c>
      <c r="G240" s="387">
        <f>'Besoins structurels'!I240</f>
        <v>0</v>
      </c>
      <c r="H240" s="387">
        <f>'Besoins structurels'!N240</f>
        <v>0</v>
      </c>
      <c r="I240" s="387">
        <f>'Besoins structurels'!V240</f>
        <v>0</v>
      </c>
      <c r="J240" s="389">
        <f t="shared" si="16"/>
        <v>0</v>
      </c>
      <c r="K240" s="387">
        <f>'Charges des villes'!N240</f>
        <v>228181.09343506634</v>
      </c>
      <c r="L240" s="387">
        <f>'Charges des villes'!U240</f>
        <v>50065.796751799498</v>
      </c>
      <c r="M240" s="378">
        <f t="shared" si="17"/>
        <v>278246.89018686581</v>
      </c>
      <c r="N240" s="388">
        <f>-VLOOKUP(A240,Paramètres!$B$23:$C$322,2,FALSE)*$N$5</f>
        <v>0</v>
      </c>
      <c r="O240" s="408"/>
      <c r="P240" s="639">
        <f t="shared" si="18"/>
        <v>-76621.006750554778</v>
      </c>
      <c r="Q240" s="640"/>
      <c r="R240" s="640"/>
      <c r="S240" s="641"/>
      <c r="T240" s="388">
        <f>PCS!D240</f>
        <v>487057.32223467395</v>
      </c>
      <c r="U240" s="379">
        <f>Police!U240</f>
        <v>73466.176182795476</v>
      </c>
      <c r="V240" s="431">
        <f t="shared" si="19"/>
        <v>483902.49166691466</v>
      </c>
      <c r="W240" s="229"/>
      <c r="X240" s="229"/>
      <c r="Y240" s="229"/>
      <c r="Z240" s="99"/>
    </row>
    <row r="241" spans="1:26" x14ac:dyDescent="0.25">
      <c r="A241" s="208">
        <f>Données!A241</f>
        <v>5816</v>
      </c>
      <c r="B241" s="209" t="str">
        <f>Données!B241</f>
        <v>Corcelles-près-Payerne</v>
      </c>
      <c r="C241" s="387">
        <f>Ressources!H241</f>
        <v>-4064909.7705675946</v>
      </c>
      <c r="D241" s="387">
        <f>Ressources!L241</f>
        <v>-12767</v>
      </c>
      <c r="E241" s="430">
        <f>Ressources!T241</f>
        <v>-255559.99599493516</v>
      </c>
      <c r="F241" s="388">
        <f t="shared" si="15"/>
        <v>-4333236.7665625298</v>
      </c>
      <c r="G241" s="387">
        <f>'Besoins structurels'!I241</f>
        <v>0</v>
      </c>
      <c r="H241" s="387">
        <f>'Besoins structurels'!N241</f>
        <v>0</v>
      </c>
      <c r="I241" s="387">
        <f>'Besoins structurels'!V241</f>
        <v>-17162</v>
      </c>
      <c r="J241" s="389">
        <f t="shared" si="16"/>
        <v>-17162</v>
      </c>
      <c r="K241" s="387">
        <f>'Charges des villes'!N241</f>
        <v>904146.35120823991</v>
      </c>
      <c r="L241" s="387">
        <f>'Charges des villes'!U241</f>
        <v>303833.64331799129</v>
      </c>
      <c r="M241" s="378">
        <f t="shared" si="17"/>
        <v>1207979.9945262312</v>
      </c>
      <c r="N241" s="388">
        <f>-VLOOKUP(A241,Paramètres!$B$23:$C$322,2,FALSE)*$N$5</f>
        <v>0</v>
      </c>
      <c r="O241" s="408"/>
      <c r="P241" s="639">
        <f t="shared" si="18"/>
        <v>-3142418.7720362986</v>
      </c>
      <c r="Q241" s="640"/>
      <c r="R241" s="640"/>
      <c r="S241" s="641"/>
      <c r="T241" s="388">
        <f>PCS!D241</f>
        <v>2955798.3757433547</v>
      </c>
      <c r="U241" s="379">
        <f>Police!U241</f>
        <v>496199.50670182495</v>
      </c>
      <c r="V241" s="431">
        <f t="shared" si="19"/>
        <v>309579.11040888098</v>
      </c>
      <c r="W241" s="229"/>
      <c r="X241" s="229"/>
      <c r="Y241" s="229"/>
      <c r="Z241" s="99"/>
    </row>
    <row r="242" spans="1:26" x14ac:dyDescent="0.25">
      <c r="A242" s="208">
        <f>Données!A242</f>
        <v>5817</v>
      </c>
      <c r="B242" s="209" t="str">
        <f>Données!B242</f>
        <v>Grandcour</v>
      </c>
      <c r="C242" s="387">
        <f>Ressources!H242</f>
        <v>-1156068.6332421328</v>
      </c>
      <c r="D242" s="387">
        <f>Ressources!L242</f>
        <v>0</v>
      </c>
      <c r="E242" s="430">
        <f>Ressources!T242</f>
        <v>-129932.26883922145</v>
      </c>
      <c r="F242" s="388">
        <f t="shared" si="15"/>
        <v>-1286000.9020813543</v>
      </c>
      <c r="G242" s="387">
        <f>'Besoins structurels'!I242</f>
        <v>-26390</v>
      </c>
      <c r="H242" s="387">
        <f>'Besoins structurels'!N242</f>
        <v>0</v>
      </c>
      <c r="I242" s="387">
        <f>'Besoins structurels'!V242</f>
        <v>-86962</v>
      </c>
      <c r="J242" s="389">
        <f t="shared" si="16"/>
        <v>-113352</v>
      </c>
      <c r="K242" s="387">
        <f>'Charges des villes'!N242</f>
        <v>453135.38352862676</v>
      </c>
      <c r="L242" s="387">
        <f>'Charges des villes'!U242</f>
        <v>99423.59233741193</v>
      </c>
      <c r="M242" s="378">
        <f t="shared" si="17"/>
        <v>552558.9758660387</v>
      </c>
      <c r="N242" s="388">
        <f>-VLOOKUP(A242,Paramètres!$B$23:$C$322,2,FALSE)*$N$5</f>
        <v>0</v>
      </c>
      <c r="O242" s="408"/>
      <c r="P242" s="639">
        <f t="shared" si="18"/>
        <v>-846793.92621531559</v>
      </c>
      <c r="Q242" s="640"/>
      <c r="R242" s="640"/>
      <c r="S242" s="641"/>
      <c r="T242" s="388">
        <f>PCS!D242</f>
        <v>967226.96516501927</v>
      </c>
      <c r="U242" s="379">
        <f>Police!U242</f>
        <v>145893.43674280395</v>
      </c>
      <c r="V242" s="431">
        <f t="shared" si="19"/>
        <v>266326.47569250764</v>
      </c>
      <c r="W242" s="229"/>
      <c r="X242" s="229"/>
      <c r="Y242" s="229"/>
      <c r="Z242" s="99"/>
    </row>
    <row r="243" spans="1:26" x14ac:dyDescent="0.25">
      <c r="A243" s="208">
        <f>Données!A243</f>
        <v>5819</v>
      </c>
      <c r="B243" s="209" t="str">
        <f>Données!B243</f>
        <v>Henniez</v>
      </c>
      <c r="C243" s="387">
        <f>Ressources!H243</f>
        <v>-444990.08256712038</v>
      </c>
      <c r="D243" s="387">
        <f>Ressources!L243</f>
        <v>0</v>
      </c>
      <c r="E243" s="430">
        <f>Ressources!T243</f>
        <v>-70943.932824776843</v>
      </c>
      <c r="F243" s="388">
        <f t="shared" si="15"/>
        <v>-515934.01539189724</v>
      </c>
      <c r="G243" s="387">
        <f>'Besoins structurels'!I243</f>
        <v>0</v>
      </c>
      <c r="H243" s="387">
        <f>'Besoins structurels'!N243</f>
        <v>0</v>
      </c>
      <c r="I243" s="387">
        <f>'Besoins structurels'!V243</f>
        <v>-70833</v>
      </c>
      <c r="J243" s="389">
        <f t="shared" si="16"/>
        <v>-70833</v>
      </c>
      <c r="K243" s="387">
        <f>'Charges des villes'!N243</f>
        <v>215734.8519749718</v>
      </c>
      <c r="L243" s="387">
        <f>'Charges des villes'!U243</f>
        <v>47334.935110792256</v>
      </c>
      <c r="M243" s="378">
        <f t="shared" si="17"/>
        <v>263069.78708576405</v>
      </c>
      <c r="N243" s="388">
        <f>-VLOOKUP(A243,Paramètres!$B$23:$C$322,2,FALSE)*$N$5</f>
        <v>0</v>
      </c>
      <c r="O243" s="408"/>
      <c r="P243" s="639">
        <f t="shared" si="18"/>
        <v>-323697.22830613313</v>
      </c>
      <c r="Q243" s="640"/>
      <c r="R243" s="640"/>
      <c r="S243" s="641"/>
      <c r="T243" s="388">
        <f>PCS!D243</f>
        <v>460490.55920369172</v>
      </c>
      <c r="U243" s="379">
        <f>Police!U243</f>
        <v>69458.930209188446</v>
      </c>
      <c r="V243" s="431">
        <f t="shared" si="19"/>
        <v>206252.26110674703</v>
      </c>
      <c r="W243" s="229"/>
      <c r="X243" s="229"/>
      <c r="Y243" s="229"/>
      <c r="Z243" s="99"/>
    </row>
    <row r="244" spans="1:26" x14ac:dyDescent="0.25">
      <c r="A244" s="208">
        <f>Données!A244</f>
        <v>5821</v>
      </c>
      <c r="B244" s="209" t="str">
        <f>Données!B244</f>
        <v>Missy</v>
      </c>
      <c r="C244" s="387">
        <f>Ressources!H244</f>
        <v>-466286.86743407953</v>
      </c>
      <c r="D244" s="387">
        <f>Ressources!L244</f>
        <v>0</v>
      </c>
      <c r="E244" s="430">
        <f>Ressources!T244</f>
        <v>-55400.196804945102</v>
      </c>
      <c r="F244" s="388">
        <f t="shared" si="15"/>
        <v>-521687.06423902465</v>
      </c>
      <c r="G244" s="387">
        <f>'Besoins structurels'!I244</f>
        <v>-113</v>
      </c>
      <c r="H244" s="387">
        <f>'Besoins structurels'!N244</f>
        <v>0</v>
      </c>
      <c r="I244" s="387">
        <f>'Besoins structurels'!V244</f>
        <v>-75552</v>
      </c>
      <c r="J244" s="389">
        <f t="shared" si="16"/>
        <v>-75665</v>
      </c>
      <c r="K244" s="387">
        <f>'Charges des villes'!N244</f>
        <v>177013.21187689994</v>
      </c>
      <c r="L244" s="387">
        <f>'Charges des villes'!U244</f>
        <v>38838.921116547492</v>
      </c>
      <c r="M244" s="378">
        <f t="shared" si="17"/>
        <v>215852.13299344742</v>
      </c>
      <c r="N244" s="388">
        <f>-VLOOKUP(A244,Paramètres!$B$23:$C$322,2,FALSE)*$N$5</f>
        <v>0</v>
      </c>
      <c r="O244" s="408"/>
      <c r="P244" s="639">
        <f t="shared" si="18"/>
        <v>-381499.93124557723</v>
      </c>
      <c r="Q244" s="640"/>
      <c r="R244" s="640"/>
      <c r="S244" s="641"/>
      <c r="T244" s="388">
        <f>PCS!D244</f>
        <v>377838.40755174705</v>
      </c>
      <c r="U244" s="379">
        <f>Police!U244</f>
        <v>56991.942735744371</v>
      </c>
      <c r="V244" s="431">
        <f t="shared" si="19"/>
        <v>53330.419041914189</v>
      </c>
      <c r="W244" s="229"/>
      <c r="X244" s="229"/>
      <c r="Y244" s="229"/>
      <c r="Z244" s="99"/>
    </row>
    <row r="245" spans="1:26" x14ac:dyDescent="0.25">
      <c r="A245" s="208">
        <f>Données!A245</f>
        <v>5822</v>
      </c>
      <c r="B245" s="209" t="str">
        <f>Données!B245</f>
        <v>Payerne</v>
      </c>
      <c r="C245" s="387">
        <f>Ressources!H245</f>
        <v>-15155413.313476758</v>
      </c>
      <c r="D245" s="387">
        <f>Ressources!L245</f>
        <v>-180537</v>
      </c>
      <c r="E245" s="430">
        <f>Ressources!T245</f>
        <v>-1169243.5023359817</v>
      </c>
      <c r="F245" s="388">
        <f t="shared" si="15"/>
        <v>-16505193.81581274</v>
      </c>
      <c r="G245" s="387">
        <f>'Besoins structurels'!I245</f>
        <v>0</v>
      </c>
      <c r="H245" s="387">
        <f>'Besoins structurels'!N245</f>
        <v>0</v>
      </c>
      <c r="I245" s="387">
        <f>'Besoins structurels'!V245</f>
        <v>0</v>
      </c>
      <c r="J245" s="389">
        <f t="shared" si="16"/>
        <v>0</v>
      </c>
      <c r="K245" s="387">
        <f>'Charges des villes'!N245</f>
        <v>352984.30430862214</v>
      </c>
      <c r="L245" s="387">
        <f>'Charges des villes'!U245</f>
        <v>898386.94245038019</v>
      </c>
      <c r="M245" s="378">
        <f t="shared" si="17"/>
        <v>1251371.2467590023</v>
      </c>
      <c r="N245" s="388">
        <f>-VLOOKUP(A245,Paramètres!$B$23:$C$322,2,FALSE)*$N$5</f>
        <v>0</v>
      </c>
      <c r="O245" s="408"/>
      <c r="P245" s="639">
        <f t="shared" si="18"/>
        <v>-15253822.569053737</v>
      </c>
      <c r="Q245" s="640"/>
      <c r="R245" s="640"/>
      <c r="S245" s="641"/>
      <c r="T245" s="388">
        <f>PCS!D245</f>
        <v>10628673.120765552</v>
      </c>
      <c r="U245" s="379">
        <f>Police!U245</f>
        <v>2020002.7030839529</v>
      </c>
      <c r="V245" s="431">
        <f t="shared" si="19"/>
        <v>-2605146.7452042326</v>
      </c>
      <c r="W245" s="229"/>
      <c r="X245" s="229"/>
      <c r="Y245" s="229"/>
      <c r="Z245" s="99"/>
    </row>
    <row r="246" spans="1:26" x14ac:dyDescent="0.25">
      <c r="A246" s="208">
        <f>Données!A246</f>
        <v>5827</v>
      </c>
      <c r="B246" s="209" t="str">
        <f>Données!B246</f>
        <v>Trey</v>
      </c>
      <c r="C246" s="387">
        <f>Ressources!H246</f>
        <v>-375611.85972913081</v>
      </c>
      <c r="D246" s="387">
        <f>Ressources!L246</f>
        <v>0</v>
      </c>
      <c r="E246" s="430">
        <f>Ressources!T246</f>
        <v>-39305.827432220161</v>
      </c>
      <c r="F246" s="388">
        <f t="shared" si="15"/>
        <v>-414917.68716135097</v>
      </c>
      <c r="G246" s="387">
        <f>'Besoins structurels'!I246</f>
        <v>-13144</v>
      </c>
      <c r="H246" s="387">
        <f>'Besoins structurels'!N246</f>
        <v>0</v>
      </c>
      <c r="I246" s="387">
        <f>'Besoins structurels'!V246</f>
        <v>-6241</v>
      </c>
      <c r="J246" s="389">
        <f t="shared" si="16"/>
        <v>-19385</v>
      </c>
      <c r="K246" s="387">
        <f>'Charges des villes'!N246</f>
        <v>146589.0660855578</v>
      </c>
      <c r="L246" s="387">
        <f>'Charges des villes'!U246</f>
        <v>32163.481549640888</v>
      </c>
      <c r="M246" s="378">
        <f t="shared" si="17"/>
        <v>178752.54763519869</v>
      </c>
      <c r="N246" s="388">
        <f>-VLOOKUP(A246,Paramètres!$B$23:$C$322,2,FALSE)*$N$5</f>
        <v>-13300</v>
      </c>
      <c r="O246" s="408"/>
      <c r="P246" s="639">
        <f t="shared" si="18"/>
        <v>-268850.13952615228</v>
      </c>
      <c r="Q246" s="640"/>
      <c r="R246" s="640"/>
      <c r="S246" s="641"/>
      <c r="T246" s="388">
        <f>PCS!D246</f>
        <v>312897.43125379056</v>
      </c>
      <c r="U246" s="379">
        <f>Police!U246</f>
        <v>47196.452578038312</v>
      </c>
      <c r="V246" s="431">
        <f t="shared" si="19"/>
        <v>91243.744305676591</v>
      </c>
      <c r="W246" s="229"/>
      <c r="X246" s="229"/>
      <c r="Y246" s="229"/>
      <c r="Z246" s="99"/>
    </row>
    <row r="247" spans="1:26" x14ac:dyDescent="0.25">
      <c r="A247" s="208">
        <f>Données!A247</f>
        <v>5828</v>
      </c>
      <c r="B247" s="209" t="str">
        <f>Données!B247</f>
        <v>Treytorrens (Payerne)</v>
      </c>
      <c r="C247" s="387">
        <f>Ressources!H247</f>
        <v>-137040.95359082695</v>
      </c>
      <c r="D247" s="387">
        <f>Ressources!L247</f>
        <v>0</v>
      </c>
      <c r="E247" s="430">
        <f>Ressources!T247</f>
        <v>-17520.724418591188</v>
      </c>
      <c r="F247" s="388">
        <f t="shared" si="15"/>
        <v>-154561.67800941813</v>
      </c>
      <c r="G247" s="387">
        <f>'Besoins structurels'!I247</f>
        <v>-23910</v>
      </c>
      <c r="H247" s="387">
        <f>'Besoins structurels'!N247</f>
        <v>0</v>
      </c>
      <c r="I247" s="387">
        <f>'Besoins structurels'!V247</f>
        <v>0</v>
      </c>
      <c r="J247" s="389">
        <f t="shared" si="16"/>
        <v>-23910</v>
      </c>
      <c r="K247" s="387">
        <f>'Charges des villes'!N247</f>
        <v>50245.937746307536</v>
      </c>
      <c r="L247" s="387">
        <f>'Charges des villes'!U247</f>
        <v>11024.589587769991</v>
      </c>
      <c r="M247" s="378">
        <f t="shared" si="17"/>
        <v>61270.527334077531</v>
      </c>
      <c r="N247" s="388">
        <f>-VLOOKUP(A247,Paramètres!$B$23:$C$322,2,FALSE)*$N$5</f>
        <v>-10100</v>
      </c>
      <c r="O247" s="408"/>
      <c r="P247" s="639">
        <f t="shared" si="18"/>
        <v>-127301.1506753406</v>
      </c>
      <c r="Q247" s="640"/>
      <c r="R247" s="640"/>
      <c r="S247" s="641"/>
      <c r="T247" s="388">
        <f>PCS!D247</f>
        <v>107251.00631026154</v>
      </c>
      <c r="U247" s="379">
        <f>Police!U247</f>
        <v>16177.400411969105</v>
      </c>
      <c r="V247" s="431">
        <f t="shared" si="19"/>
        <v>-3872.7439531099553</v>
      </c>
      <c r="W247" s="229"/>
      <c r="X247" s="229"/>
      <c r="Y247" s="229"/>
      <c r="Z247" s="99"/>
    </row>
    <row r="248" spans="1:26" x14ac:dyDescent="0.25">
      <c r="A248" s="208">
        <f>Données!A248</f>
        <v>5830</v>
      </c>
      <c r="B248" s="209" t="str">
        <f>Données!B248</f>
        <v>Villarzel</v>
      </c>
      <c r="C248" s="387">
        <f>Ressources!H248</f>
        <v>-583391.79423223762</v>
      </c>
      <c r="D248" s="387">
        <f>Ressources!L248</f>
        <v>0</v>
      </c>
      <c r="E248" s="430">
        <f>Ressources!T248</f>
        <v>-32730.481837997999</v>
      </c>
      <c r="F248" s="388">
        <f t="shared" si="15"/>
        <v>-616122.27607023565</v>
      </c>
      <c r="G248" s="387">
        <f>'Besoins structurels'!I248</f>
        <v>-38248</v>
      </c>
      <c r="H248" s="387">
        <f>'Besoins structurels'!N248</f>
        <v>-1506</v>
      </c>
      <c r="I248" s="387">
        <f>'Besoins structurels'!V248</f>
        <v>-28557</v>
      </c>
      <c r="J248" s="389">
        <f t="shared" si="16"/>
        <v>-68311</v>
      </c>
      <c r="K248" s="387">
        <f>'Charges des villes'!N248</f>
        <v>241549.27870701975</v>
      </c>
      <c r="L248" s="387">
        <f>'Charges des villes'!U248</f>
        <v>52998.94444028876</v>
      </c>
      <c r="M248" s="378">
        <f t="shared" si="17"/>
        <v>294548.22314730851</v>
      </c>
      <c r="N248" s="388">
        <f>-VLOOKUP(A248,Paramètres!$B$23:$C$322,2,FALSE)*$N$5</f>
        <v>-7700</v>
      </c>
      <c r="O248" s="408"/>
      <c r="P248" s="639">
        <f t="shared" si="18"/>
        <v>-397585.05292292713</v>
      </c>
      <c r="Q248" s="640"/>
      <c r="R248" s="640"/>
      <c r="S248" s="641"/>
      <c r="T248" s="388">
        <f>PCS!D248</f>
        <v>515591.99363832152</v>
      </c>
      <c r="U248" s="379">
        <f>Police!U248</f>
        <v>77770.25519148451</v>
      </c>
      <c r="V248" s="431">
        <f t="shared" si="19"/>
        <v>195777.19590687891</v>
      </c>
      <c r="W248" s="229"/>
      <c r="X248" s="229"/>
      <c r="Y248" s="229"/>
      <c r="Z248" s="99"/>
    </row>
    <row r="249" spans="1:26" x14ac:dyDescent="0.25">
      <c r="A249" s="208">
        <f>Données!A249</f>
        <v>5831</v>
      </c>
      <c r="B249" s="209" t="str">
        <f>Données!B249</f>
        <v>Valbroye</v>
      </c>
      <c r="C249" s="387">
        <f>Ressources!H249</f>
        <v>-4452142.6310181115</v>
      </c>
      <c r="D249" s="387">
        <f>Ressources!L249</f>
        <v>0</v>
      </c>
      <c r="E249" s="430">
        <f>Ressources!T249</f>
        <v>-499528.85598954791</v>
      </c>
      <c r="F249" s="388">
        <f t="shared" si="15"/>
        <v>-4951671.4870076589</v>
      </c>
      <c r="G249" s="387">
        <f>'Besoins structurels'!I249</f>
        <v>-69323</v>
      </c>
      <c r="H249" s="387">
        <f>'Besoins structurels'!N249</f>
        <v>-4995</v>
      </c>
      <c r="I249" s="387">
        <f>'Besoins structurels'!V249</f>
        <v>0</v>
      </c>
      <c r="J249" s="389">
        <f t="shared" si="16"/>
        <v>-74318</v>
      </c>
      <c r="K249" s="387">
        <f>'Charges des villes'!N249</f>
        <v>873683.30398924323</v>
      </c>
      <c r="L249" s="387">
        <f>'Charges des villes'!U249</f>
        <v>347426.2865503662</v>
      </c>
      <c r="M249" s="378">
        <f t="shared" si="17"/>
        <v>1221109.5905396095</v>
      </c>
      <c r="N249" s="388">
        <f>-VLOOKUP(A249,Paramètres!$B$23:$C$322,2,FALSE)*$N$5</f>
        <v>-354600</v>
      </c>
      <c r="O249" s="408"/>
      <c r="P249" s="639">
        <f t="shared" si="18"/>
        <v>-4159479.8964680494</v>
      </c>
      <c r="Q249" s="640"/>
      <c r="R249" s="640"/>
      <c r="S249" s="641"/>
      <c r="T249" s="388">
        <f>PCS!D249</f>
        <v>3379882.6300527374</v>
      </c>
      <c r="U249" s="379">
        <f>Police!U249</f>
        <v>576396.00891134702</v>
      </c>
      <c r="V249" s="431">
        <f t="shared" si="19"/>
        <v>-203201.25750396494</v>
      </c>
      <c r="W249" s="229"/>
      <c r="X249" s="229"/>
      <c r="Y249" s="229"/>
      <c r="Z249" s="99"/>
    </row>
    <row r="250" spans="1:26" x14ac:dyDescent="0.25">
      <c r="A250" s="208">
        <f>Données!A250</f>
        <v>5841</v>
      </c>
      <c r="B250" s="209" t="str">
        <f>Données!B250</f>
        <v>Château-d'Oex</v>
      </c>
      <c r="C250" s="387">
        <f>Ressources!H250</f>
        <v>-2859009.8508587019</v>
      </c>
      <c r="D250" s="387">
        <f>Ressources!L250</f>
        <v>0</v>
      </c>
      <c r="E250" s="430">
        <f>Ressources!T250</f>
        <v>124984.54156541836</v>
      </c>
      <c r="F250" s="388">
        <f t="shared" si="15"/>
        <v>-2734025.3092932836</v>
      </c>
      <c r="G250" s="387">
        <f>'Besoins structurels'!I250</f>
        <v>-710430</v>
      </c>
      <c r="H250" s="387">
        <f>'Besoins structurels'!N250</f>
        <v>-1507354</v>
      </c>
      <c r="I250" s="387">
        <f>'Besoins structurels'!V250</f>
        <v>0</v>
      </c>
      <c r="J250" s="389">
        <f t="shared" si="16"/>
        <v>-2217784</v>
      </c>
      <c r="K250" s="387">
        <f>'Charges des villes'!N250</f>
        <v>858063.04079806432</v>
      </c>
      <c r="L250" s="387">
        <f>'Charges des villes'!U250</f>
        <v>369778.89479712921</v>
      </c>
      <c r="M250" s="378">
        <f t="shared" si="17"/>
        <v>1227841.9355951934</v>
      </c>
      <c r="N250" s="388">
        <f>-VLOOKUP(A250,Paramètres!$B$23:$C$322,2,FALSE)*$N$5</f>
        <v>-170200</v>
      </c>
      <c r="O250" s="408"/>
      <c r="P250" s="639">
        <f t="shared" si="18"/>
        <v>-3894167.3736980897</v>
      </c>
      <c r="Q250" s="640"/>
      <c r="R250" s="640"/>
      <c r="S250" s="641"/>
      <c r="T250" s="388">
        <f>PCS!D250</f>
        <v>3597336.5052322587</v>
      </c>
      <c r="U250" s="379">
        <f>Police!U250</f>
        <v>617517.64925544069</v>
      </c>
      <c r="V250" s="431">
        <f t="shared" si="19"/>
        <v>320686.78078960965</v>
      </c>
      <c r="W250" s="229"/>
      <c r="X250" s="229"/>
      <c r="Y250" s="229"/>
      <c r="Z250" s="99"/>
    </row>
    <row r="251" spans="1:26" x14ac:dyDescent="0.25">
      <c r="A251" s="208">
        <f>Données!A251</f>
        <v>5842</v>
      </c>
      <c r="B251" s="209" t="str">
        <f>Données!B251</f>
        <v>Rossinière</v>
      </c>
      <c r="C251" s="387">
        <f>Ressources!H251</f>
        <v>-459819.23947710317</v>
      </c>
      <c r="D251" s="387">
        <f>Ressources!L251</f>
        <v>0</v>
      </c>
      <c r="E251" s="430">
        <f>Ressources!T251</f>
        <v>-23570.668439238594</v>
      </c>
      <c r="F251" s="388">
        <f t="shared" si="15"/>
        <v>-483389.90791634179</v>
      </c>
      <c r="G251" s="387">
        <f>'Besoins structurels'!I251</f>
        <v>-184615</v>
      </c>
      <c r="H251" s="387">
        <f>'Besoins structurels'!N251</f>
        <v>-235794</v>
      </c>
      <c r="I251" s="387">
        <f>'Besoins structurels'!V251</f>
        <v>-42638</v>
      </c>
      <c r="J251" s="389">
        <f t="shared" si="16"/>
        <v>-463047</v>
      </c>
      <c r="K251" s="387">
        <f>'Charges des villes'!N251</f>
        <v>230024.98105878406</v>
      </c>
      <c r="L251" s="387">
        <f>'Charges des villes'!U251</f>
        <v>50470.368846763537</v>
      </c>
      <c r="M251" s="378">
        <f t="shared" si="17"/>
        <v>280495.34990554757</v>
      </c>
      <c r="N251" s="388">
        <f>-VLOOKUP(A251,Paramètres!$B$23:$C$322,2,FALSE)*$N$5</f>
        <v>0</v>
      </c>
      <c r="O251" s="408"/>
      <c r="P251" s="639">
        <f t="shared" si="18"/>
        <v>-665941.55801079422</v>
      </c>
      <c r="Q251" s="640"/>
      <c r="R251" s="640"/>
      <c r="S251" s="641"/>
      <c r="T251" s="388">
        <f>PCS!D251</f>
        <v>490993.13898000465</v>
      </c>
      <c r="U251" s="379">
        <f>Police!U251</f>
        <v>74059.842252959483</v>
      </c>
      <c r="V251" s="431">
        <f t="shared" si="19"/>
        <v>-100888.57677783009</v>
      </c>
      <c r="W251" s="229"/>
      <c r="X251" s="229"/>
      <c r="Y251" s="229"/>
      <c r="Z251" s="99"/>
    </row>
    <row r="252" spans="1:26" x14ac:dyDescent="0.25">
      <c r="A252" s="208">
        <f>Données!A252</f>
        <v>5843</v>
      </c>
      <c r="B252" s="209" t="str">
        <f>Données!B252</f>
        <v>Rougemont</v>
      </c>
      <c r="C252" s="387">
        <f>Ressources!H252</f>
        <v>2654743.9015565845</v>
      </c>
      <c r="D252" s="387">
        <f>Ressources!L252</f>
        <v>0</v>
      </c>
      <c r="E252" s="430">
        <f>Ressources!T252</f>
        <v>512296.72180829319</v>
      </c>
      <c r="F252" s="388">
        <f t="shared" si="15"/>
        <v>3167040.6233648779</v>
      </c>
      <c r="G252" s="387">
        <f>'Besoins structurels'!I252</f>
        <v>-368940</v>
      </c>
      <c r="H252" s="387">
        <f>'Besoins structurels'!N252</f>
        <v>-350455</v>
      </c>
      <c r="I252" s="387">
        <f>'Besoins structurels'!V252</f>
        <v>0</v>
      </c>
      <c r="J252" s="389">
        <f t="shared" si="16"/>
        <v>-719395</v>
      </c>
      <c r="K252" s="387">
        <f>'Charges des villes'!N252</f>
        <v>374309.1876146947</v>
      </c>
      <c r="L252" s="387">
        <f>'Charges des villes'!U252</f>
        <v>82128.135277699374</v>
      </c>
      <c r="M252" s="378">
        <f t="shared" si="17"/>
        <v>456437.32289239409</v>
      </c>
      <c r="N252" s="388">
        <f>-VLOOKUP(A252,Paramètres!$B$23:$C$322,2,FALSE)*$N$5</f>
        <v>0</v>
      </c>
      <c r="O252" s="408"/>
      <c r="P252" s="639">
        <f t="shared" si="18"/>
        <v>2904082.9462572718</v>
      </c>
      <c r="Q252" s="640"/>
      <c r="R252" s="640"/>
      <c r="S252" s="641"/>
      <c r="T252" s="388">
        <f>PCS!D252</f>
        <v>798970.79930213187</v>
      </c>
      <c r="U252" s="379">
        <f>Police!U252</f>
        <v>120514.2122432928</v>
      </c>
      <c r="V252" s="431">
        <f t="shared" si="19"/>
        <v>3823567.9578026966</v>
      </c>
      <c r="W252" s="229"/>
      <c r="X252" s="229"/>
      <c r="Y252" s="229"/>
      <c r="Z252" s="99"/>
    </row>
    <row r="253" spans="1:26" x14ac:dyDescent="0.25">
      <c r="A253" s="208">
        <f>Données!A253</f>
        <v>5851</v>
      </c>
      <c r="B253" s="209" t="str">
        <f>Données!B253</f>
        <v>Allaman</v>
      </c>
      <c r="C253" s="387">
        <f>Ressources!H253</f>
        <v>340432.09019533248</v>
      </c>
      <c r="D253" s="387">
        <f>Ressources!L253</f>
        <v>0</v>
      </c>
      <c r="E253" s="430">
        <f>Ressources!T253</f>
        <v>-37985.120458662488</v>
      </c>
      <c r="F253" s="388">
        <f t="shared" si="15"/>
        <v>302446.96973666997</v>
      </c>
      <c r="G253" s="387">
        <f>'Besoins structurels'!I253</f>
        <v>0</v>
      </c>
      <c r="H253" s="387">
        <f>'Besoins structurels'!N253</f>
        <v>0</v>
      </c>
      <c r="I253" s="387">
        <f>'Besoins structurels'!V253</f>
        <v>0</v>
      </c>
      <c r="J253" s="389">
        <f t="shared" si="16"/>
        <v>0</v>
      </c>
      <c r="K253" s="387">
        <f>'Charges des villes'!N253</f>
        <v>198217.9195496536</v>
      </c>
      <c r="L253" s="387">
        <f>'Charges des villes'!U253</f>
        <v>43491.500208633908</v>
      </c>
      <c r="M253" s="378">
        <f t="shared" si="17"/>
        <v>241709.41975828749</v>
      </c>
      <c r="N253" s="388">
        <f>-VLOOKUP(A253,Paramètres!$B$23:$C$322,2,FALSE)*$N$5</f>
        <v>0</v>
      </c>
      <c r="O253" s="408"/>
      <c r="P253" s="639">
        <f t="shared" si="18"/>
        <v>544156.3894949574</v>
      </c>
      <c r="Q253" s="640"/>
      <c r="R253" s="640"/>
      <c r="S253" s="641"/>
      <c r="T253" s="388">
        <f>PCS!D253</f>
        <v>423100.30012305011</v>
      </c>
      <c r="U253" s="379">
        <f>Police!U253</f>
        <v>63819.102542630419</v>
      </c>
      <c r="V253" s="431">
        <f t="shared" si="19"/>
        <v>1031075.7921606379</v>
      </c>
      <c r="W253" s="229"/>
      <c r="X253" s="229"/>
      <c r="Y253" s="229"/>
      <c r="Z253" s="99"/>
    </row>
    <row r="254" spans="1:26" x14ac:dyDescent="0.25">
      <c r="A254" s="208">
        <f>Données!A254</f>
        <v>5852</v>
      </c>
      <c r="B254" s="209" t="str">
        <f>Données!B254</f>
        <v>Bursinel</v>
      </c>
      <c r="C254" s="387">
        <f>Ressources!H254</f>
        <v>890199.89544339827</v>
      </c>
      <c r="D254" s="387">
        <f>Ressources!L254</f>
        <v>0</v>
      </c>
      <c r="E254" s="430">
        <f>Ressources!T254</f>
        <v>-36572.494053700269</v>
      </c>
      <c r="F254" s="388">
        <f t="shared" si="15"/>
        <v>853627.40138969803</v>
      </c>
      <c r="G254" s="387">
        <f>'Besoins structurels'!I254</f>
        <v>0</v>
      </c>
      <c r="H254" s="387">
        <f>'Besoins structurels'!N254</f>
        <v>0</v>
      </c>
      <c r="I254" s="387">
        <f>'Besoins structurels'!V254</f>
        <v>0</v>
      </c>
      <c r="J254" s="389">
        <f t="shared" si="16"/>
        <v>0</v>
      </c>
      <c r="K254" s="387">
        <f>'Charges des villes'!N254</f>
        <v>244315.1101425963</v>
      </c>
      <c r="L254" s="387">
        <f>'Charges des villes'!U254</f>
        <v>53605.802582734817</v>
      </c>
      <c r="M254" s="378">
        <f t="shared" si="17"/>
        <v>297920.91272533115</v>
      </c>
      <c r="N254" s="388">
        <f>-VLOOKUP(A254,Paramètres!$B$23:$C$322,2,FALSE)*$N$5</f>
        <v>0</v>
      </c>
      <c r="O254" s="408"/>
      <c r="P254" s="639">
        <f t="shared" si="18"/>
        <v>1151548.3141150293</v>
      </c>
      <c r="Q254" s="640"/>
      <c r="R254" s="640"/>
      <c r="S254" s="641"/>
      <c r="T254" s="388">
        <f>PCS!D254</f>
        <v>521495.71875631757</v>
      </c>
      <c r="U254" s="379">
        <f>Police!U254</f>
        <v>78660.754296730505</v>
      </c>
      <c r="V254" s="431">
        <f t="shared" si="19"/>
        <v>1751704.7871680774</v>
      </c>
      <c r="W254" s="229"/>
      <c r="X254" s="229"/>
      <c r="Y254" s="229"/>
      <c r="Z254" s="99"/>
    </row>
    <row r="255" spans="1:26" x14ac:dyDescent="0.25">
      <c r="A255" s="208">
        <f>Données!A255</f>
        <v>5853</v>
      </c>
      <c r="B255" s="209" t="str">
        <f>Données!B255</f>
        <v>Bursins</v>
      </c>
      <c r="C255" s="387">
        <f>Ressources!H255</f>
        <v>235922.29152613561</v>
      </c>
      <c r="D255" s="387">
        <f>Ressources!L255</f>
        <v>0</v>
      </c>
      <c r="E255" s="430">
        <f>Ressources!T255</f>
        <v>-79325.332159061742</v>
      </c>
      <c r="F255" s="388">
        <f t="shared" si="15"/>
        <v>156596.95936707387</v>
      </c>
      <c r="G255" s="387">
        <f>'Besoins structurels'!I255</f>
        <v>0</v>
      </c>
      <c r="H255" s="387">
        <f>'Besoins structurels'!N255</f>
        <v>0</v>
      </c>
      <c r="I255" s="387">
        <f>'Besoins structurels'!V255</f>
        <v>0</v>
      </c>
      <c r="J255" s="389">
        <f t="shared" si="16"/>
        <v>0</v>
      </c>
      <c r="K255" s="387">
        <f>'Charges des villes'!N255</f>
        <v>380301.82239177724</v>
      </c>
      <c r="L255" s="387">
        <f>'Charges des villes'!U255</f>
        <v>83442.994586332497</v>
      </c>
      <c r="M255" s="378">
        <f t="shared" si="17"/>
        <v>463744.81697810977</v>
      </c>
      <c r="N255" s="388">
        <f>-VLOOKUP(A255,Paramètres!$B$23:$C$322,2,FALSE)*$N$5</f>
        <v>0</v>
      </c>
      <c r="O255" s="408"/>
      <c r="P255" s="639">
        <f t="shared" si="18"/>
        <v>620341.77634518361</v>
      </c>
      <c r="Q255" s="640"/>
      <c r="R255" s="640"/>
      <c r="S255" s="641"/>
      <c r="T255" s="388">
        <f>PCS!D255</f>
        <v>811762.2037244566</v>
      </c>
      <c r="U255" s="379">
        <f>Police!U255</f>
        <v>122443.62697132579</v>
      </c>
      <c r="V255" s="431">
        <f t="shared" si="19"/>
        <v>1554547.6070409659</v>
      </c>
      <c r="W255" s="229"/>
      <c r="X255" s="229"/>
      <c r="Y255" s="229"/>
      <c r="Z255" s="99"/>
    </row>
    <row r="256" spans="1:26" x14ac:dyDescent="0.25">
      <c r="A256" s="208">
        <f>Données!A256</f>
        <v>5854</v>
      </c>
      <c r="B256" s="209" t="str">
        <f>Données!B256</f>
        <v>Burtigny</v>
      </c>
      <c r="C256" s="387">
        <f>Ressources!H256</f>
        <v>-166401.20721105571</v>
      </c>
      <c r="D256" s="387">
        <f>Ressources!L256</f>
        <v>0</v>
      </c>
      <c r="E256" s="430">
        <f>Ressources!T256</f>
        <v>-2654.5639161015279</v>
      </c>
      <c r="F256" s="388">
        <f t="shared" si="15"/>
        <v>-169055.77112715723</v>
      </c>
      <c r="G256" s="387">
        <f>'Besoins structurels'!I256</f>
        <v>-26347</v>
      </c>
      <c r="H256" s="387">
        <f>'Besoins structurels'!N256</f>
        <v>-10464</v>
      </c>
      <c r="I256" s="387">
        <f>'Besoins structurels'!V256</f>
        <v>-2103</v>
      </c>
      <c r="J256" s="389">
        <f t="shared" si="16"/>
        <v>-38914</v>
      </c>
      <c r="K256" s="387">
        <f>'Charges des villes'!N256</f>
        <v>184849.73427770022</v>
      </c>
      <c r="L256" s="387">
        <f>'Charges des villes'!U256</f>
        <v>40558.352520144646</v>
      </c>
      <c r="M256" s="378">
        <f t="shared" si="17"/>
        <v>225408.08679784485</v>
      </c>
      <c r="N256" s="388">
        <f>-VLOOKUP(A256,Paramètres!$B$23:$C$322,2,FALSE)*$N$5</f>
        <v>0</v>
      </c>
      <c r="O256" s="408"/>
      <c r="P256" s="639">
        <f t="shared" si="18"/>
        <v>17438.315670687618</v>
      </c>
      <c r="Q256" s="640"/>
      <c r="R256" s="640"/>
      <c r="S256" s="641"/>
      <c r="T256" s="388">
        <f>PCS!D256</f>
        <v>394565.62871940254</v>
      </c>
      <c r="U256" s="379">
        <f>Police!U256</f>
        <v>59515.023533941392</v>
      </c>
      <c r="V256" s="431">
        <f t="shared" si="19"/>
        <v>471518.96792403155</v>
      </c>
      <c r="W256" s="229"/>
      <c r="X256" s="229"/>
      <c r="Y256" s="229"/>
      <c r="Z256" s="99"/>
    </row>
    <row r="257" spans="1:26" x14ac:dyDescent="0.25">
      <c r="A257" s="208">
        <f>Données!A257</f>
        <v>5855</v>
      </c>
      <c r="B257" s="209" t="str">
        <f>Données!B257</f>
        <v>Dully</v>
      </c>
      <c r="C257" s="387">
        <f>Ressources!H257</f>
        <v>3571944.6796940356</v>
      </c>
      <c r="D257" s="387">
        <f>Ressources!L257</f>
        <v>0</v>
      </c>
      <c r="E257" s="430">
        <f>Ressources!T257</f>
        <v>-73440.38589708542</v>
      </c>
      <c r="F257" s="388">
        <f t="shared" si="15"/>
        <v>3498504.29379695</v>
      </c>
      <c r="G257" s="387">
        <f>'Besoins structurels'!I257</f>
        <v>0</v>
      </c>
      <c r="H257" s="387">
        <f>'Besoins structurels'!N257</f>
        <v>0</v>
      </c>
      <c r="I257" s="387">
        <f>'Besoins structurels'!V257</f>
        <v>0</v>
      </c>
      <c r="J257" s="389">
        <f t="shared" si="16"/>
        <v>0</v>
      </c>
      <c r="K257" s="387">
        <f>'Charges des villes'!N257</f>
        <v>287185.49739403301</v>
      </c>
      <c r="L257" s="387">
        <f>'Charges des villes'!U257</f>
        <v>63012.10379064866</v>
      </c>
      <c r="M257" s="378">
        <f t="shared" si="17"/>
        <v>350197.60118468164</v>
      </c>
      <c r="N257" s="388">
        <f>-VLOOKUP(A257,Paramètres!$B$23:$C$322,2,FALSE)*$N$5</f>
        <v>0</v>
      </c>
      <c r="O257" s="408"/>
      <c r="P257" s="639">
        <f t="shared" si="18"/>
        <v>3848701.8949816315</v>
      </c>
      <c r="Q257" s="640"/>
      <c r="R257" s="640"/>
      <c r="S257" s="641"/>
      <c r="T257" s="388">
        <f>PCS!D257</f>
        <v>613003.45808525628</v>
      </c>
      <c r="U257" s="379">
        <f>Police!U257</f>
        <v>92463.490428043602</v>
      </c>
      <c r="V257" s="431">
        <f t="shared" si="19"/>
        <v>4554168.8434949312</v>
      </c>
      <c r="W257" s="229"/>
      <c r="X257" s="229"/>
      <c r="Y257" s="229"/>
      <c r="Z257" s="99"/>
    </row>
    <row r="258" spans="1:26" x14ac:dyDescent="0.25">
      <c r="A258" s="208">
        <f>Données!A258</f>
        <v>5856</v>
      </c>
      <c r="B258" s="209" t="str">
        <f>Données!B258</f>
        <v>Essertines-sur-Rolle</v>
      </c>
      <c r="C258" s="387">
        <f>Ressources!H258</f>
        <v>-139377.02600097767</v>
      </c>
      <c r="D258" s="387">
        <f>Ressources!L258</f>
        <v>0</v>
      </c>
      <c r="E258" s="430">
        <f>Ressources!T258</f>
        <v>-11687.728864848148</v>
      </c>
      <c r="F258" s="388">
        <f t="shared" si="15"/>
        <v>-151064.75486582582</v>
      </c>
      <c r="G258" s="387">
        <f>'Besoins structurels'!I258</f>
        <v>-8902</v>
      </c>
      <c r="H258" s="387">
        <f>'Besoins structurels'!N258</f>
        <v>-6104</v>
      </c>
      <c r="I258" s="387">
        <f>'Besoins structurels'!V258</f>
        <v>-16214</v>
      </c>
      <c r="J258" s="389">
        <f t="shared" si="16"/>
        <v>-31220</v>
      </c>
      <c r="K258" s="387">
        <f>'Charges des villes'!N258</f>
        <v>363706.8337783179</v>
      </c>
      <c r="L258" s="387">
        <f>'Charges des villes'!U258</f>
        <v>79801.845731656169</v>
      </c>
      <c r="M258" s="378">
        <f t="shared" si="17"/>
        <v>443508.67950997408</v>
      </c>
      <c r="N258" s="388">
        <f>-VLOOKUP(A258,Paramètres!$B$23:$C$322,2,FALSE)*$N$5</f>
        <v>0</v>
      </c>
      <c r="O258" s="408"/>
      <c r="P258" s="639">
        <f t="shared" si="18"/>
        <v>261223.92464414827</v>
      </c>
      <c r="Q258" s="640"/>
      <c r="R258" s="640"/>
      <c r="S258" s="641"/>
      <c r="T258" s="388">
        <f>PCS!D258</f>
        <v>776339.85301648034</v>
      </c>
      <c r="U258" s="379">
        <f>Police!U258</f>
        <v>117100.63233984976</v>
      </c>
      <c r="V258" s="431">
        <f t="shared" si="19"/>
        <v>1154664.4100004784</v>
      </c>
      <c r="W258" s="229"/>
      <c r="X258" s="229"/>
      <c r="Y258" s="229"/>
      <c r="Z258" s="99"/>
    </row>
    <row r="259" spans="1:26" x14ac:dyDescent="0.25">
      <c r="A259" s="208">
        <f>Données!A259</f>
        <v>5857</v>
      </c>
      <c r="B259" s="209" t="str">
        <f>Données!B259</f>
        <v>Gilly</v>
      </c>
      <c r="C259" s="387">
        <f>Ressources!H259</f>
        <v>1346978.873224606</v>
      </c>
      <c r="D259" s="387">
        <f>Ressources!L259</f>
        <v>0</v>
      </c>
      <c r="E259" s="430">
        <f>Ressources!T259</f>
        <v>-53821.916304494487</v>
      </c>
      <c r="F259" s="388">
        <f t="shared" si="15"/>
        <v>1293156.9569201116</v>
      </c>
      <c r="G259" s="387">
        <f>'Besoins structurels'!I259</f>
        <v>0</v>
      </c>
      <c r="H259" s="387">
        <f>'Besoins structurels'!N259</f>
        <v>-1867</v>
      </c>
      <c r="I259" s="387">
        <f>'Besoins structurels'!V259</f>
        <v>0</v>
      </c>
      <c r="J259" s="389">
        <f t="shared" si="16"/>
        <v>-1867</v>
      </c>
      <c r="K259" s="387">
        <f>'Charges des villes'!N259</f>
        <v>558754.21080632205</v>
      </c>
      <c r="L259" s="387">
        <f>'Charges des villes'!U259</f>
        <v>145747.09721079411</v>
      </c>
      <c r="M259" s="378">
        <f t="shared" si="17"/>
        <v>704501.30801711616</v>
      </c>
      <c r="N259" s="388">
        <f>-VLOOKUP(A259,Paramètres!$B$23:$C$322,2,FALSE)*$N$5</f>
        <v>0</v>
      </c>
      <c r="O259" s="408"/>
      <c r="P259" s="639">
        <f t="shared" si="18"/>
        <v>1995791.2649372276</v>
      </c>
      <c r="Q259" s="640"/>
      <c r="R259" s="640"/>
      <c r="S259" s="641"/>
      <c r="T259" s="388">
        <f>PCS!D259</f>
        <v>1417877.9825053841</v>
      </c>
      <c r="U259" s="379">
        <f>Police!U259</f>
        <v>224938.55223112786</v>
      </c>
      <c r="V259" s="431">
        <f t="shared" si="19"/>
        <v>3638607.7996737394</v>
      </c>
      <c r="W259" s="229"/>
      <c r="X259" s="229"/>
      <c r="Y259" s="229"/>
      <c r="Z259" s="99"/>
    </row>
    <row r="260" spans="1:26" x14ac:dyDescent="0.25">
      <c r="A260" s="208">
        <f>Données!A260</f>
        <v>5858</v>
      </c>
      <c r="B260" s="209" t="str">
        <f>Données!B260</f>
        <v>Luins</v>
      </c>
      <c r="C260" s="387">
        <f>Ressources!H260</f>
        <v>494728.56638132257</v>
      </c>
      <c r="D260" s="387">
        <f>Ressources!L260</f>
        <v>0</v>
      </c>
      <c r="E260" s="430">
        <f>Ressources!T260</f>
        <v>-90465.814400390693</v>
      </c>
      <c r="F260" s="388">
        <f t="shared" si="15"/>
        <v>404262.75198093185</v>
      </c>
      <c r="G260" s="387">
        <f>'Besoins structurels'!I260</f>
        <v>0</v>
      </c>
      <c r="H260" s="387">
        <f>'Besoins structurels'!N260</f>
        <v>0</v>
      </c>
      <c r="I260" s="387">
        <f>'Besoins structurels'!V260</f>
        <v>0</v>
      </c>
      <c r="J260" s="389">
        <f t="shared" si="16"/>
        <v>0</v>
      </c>
      <c r="K260" s="387">
        <f>'Charges des villes'!N260</f>
        <v>293639.10407704499</v>
      </c>
      <c r="L260" s="387">
        <f>'Charges des villes'!U260</f>
        <v>64428.106123022786</v>
      </c>
      <c r="M260" s="378">
        <f t="shared" si="17"/>
        <v>358067.21020006778</v>
      </c>
      <c r="N260" s="388">
        <f>-VLOOKUP(A260,Paramètres!$B$23:$C$322,2,FALSE)*$N$5</f>
        <v>0</v>
      </c>
      <c r="O260" s="408"/>
      <c r="P260" s="639">
        <f t="shared" si="18"/>
        <v>762329.96218099957</v>
      </c>
      <c r="Q260" s="640"/>
      <c r="R260" s="640"/>
      <c r="S260" s="641"/>
      <c r="T260" s="388">
        <f>PCS!D260</f>
        <v>626778.81669391377</v>
      </c>
      <c r="U260" s="379">
        <f>Police!U260</f>
        <v>94541.321673617625</v>
      </c>
      <c r="V260" s="431">
        <f t="shared" si="19"/>
        <v>1483650.1005485309</v>
      </c>
      <c r="W260" s="229"/>
      <c r="X260" s="229"/>
      <c r="Y260" s="229"/>
      <c r="Z260" s="99"/>
    </row>
    <row r="261" spans="1:26" x14ac:dyDescent="0.25">
      <c r="A261" s="208">
        <f>Données!A261</f>
        <v>5859</v>
      </c>
      <c r="B261" s="209" t="str">
        <f>Données!B261</f>
        <v>Mont-sur-Rolle</v>
      </c>
      <c r="C261" s="387">
        <f>Ressources!H261</f>
        <v>2064812.2564530566</v>
      </c>
      <c r="D261" s="387">
        <f>Ressources!L261</f>
        <v>0</v>
      </c>
      <c r="E261" s="430">
        <f>Ressources!T261</f>
        <v>53441.455672411248</v>
      </c>
      <c r="F261" s="388">
        <f t="shared" si="15"/>
        <v>2118253.7121254681</v>
      </c>
      <c r="G261" s="387">
        <f>'Besoins structurels'!I261</f>
        <v>0</v>
      </c>
      <c r="H261" s="387">
        <f>'Besoins structurels'!N261</f>
        <v>-659</v>
      </c>
      <c r="I261" s="387">
        <f>'Besoins structurels'!V261</f>
        <v>0</v>
      </c>
      <c r="J261" s="389">
        <f t="shared" si="16"/>
        <v>-659</v>
      </c>
      <c r="K261" s="387">
        <f>'Charges des villes'!N261</f>
        <v>848775.19669969799</v>
      </c>
      <c r="L261" s="387">
        <f>'Charges des villes'!U261</f>
        <v>278042.17226403399</v>
      </c>
      <c r="M261" s="378">
        <f t="shared" si="17"/>
        <v>1126817.3689637319</v>
      </c>
      <c r="N261" s="388">
        <f>-VLOOKUP(A261,Paramètres!$B$23:$C$322,2,FALSE)*$N$5</f>
        <v>0</v>
      </c>
      <c r="O261" s="408"/>
      <c r="P261" s="639">
        <f t="shared" si="18"/>
        <v>3244412.0810892</v>
      </c>
      <c r="Q261" s="640"/>
      <c r="R261" s="640"/>
      <c r="S261" s="641"/>
      <c r="T261" s="388">
        <f>PCS!D261</f>
        <v>2704890.0582285225</v>
      </c>
      <c r="U261" s="379">
        <f>Police!U261</f>
        <v>451901.86600592593</v>
      </c>
      <c r="V261" s="431">
        <f t="shared" si="19"/>
        <v>6401204.0053236485</v>
      </c>
      <c r="W261" s="229"/>
      <c r="X261" s="229"/>
      <c r="Y261" s="229"/>
      <c r="Z261" s="99"/>
    </row>
    <row r="262" spans="1:26" x14ac:dyDescent="0.25">
      <c r="A262" s="208">
        <f>Données!A262</f>
        <v>5860</v>
      </c>
      <c r="B262" s="209" t="str">
        <f>Données!B262</f>
        <v>Perroy</v>
      </c>
      <c r="C262" s="387">
        <f>Ressources!H262</f>
        <v>1878757.5216799439</v>
      </c>
      <c r="D262" s="387">
        <f>Ressources!L262</f>
        <v>0</v>
      </c>
      <c r="E262" s="430">
        <f>Ressources!T262</f>
        <v>-46674.743089199997</v>
      </c>
      <c r="F262" s="388">
        <f t="shared" si="15"/>
        <v>1832082.7785907439</v>
      </c>
      <c r="G262" s="387">
        <f>'Besoins structurels'!I262</f>
        <v>0</v>
      </c>
      <c r="H262" s="387">
        <f>'Besoins structurels'!N262</f>
        <v>0</v>
      </c>
      <c r="I262" s="387">
        <f>'Besoins structurels'!V262</f>
        <v>0</v>
      </c>
      <c r="J262" s="389">
        <f t="shared" si="16"/>
        <v>0</v>
      </c>
      <c r="K262" s="387">
        <f>'Charges des villes'!N262</f>
        <v>591348.31243195373</v>
      </c>
      <c r="L262" s="387">
        <f>'Charges des villes'!U262</f>
        <v>160615.12170072243</v>
      </c>
      <c r="M262" s="378">
        <f t="shared" si="17"/>
        <v>751963.43413267611</v>
      </c>
      <c r="N262" s="388">
        <f>-VLOOKUP(A262,Paramètres!$B$23:$C$322,2,FALSE)*$N$5</f>
        <v>0</v>
      </c>
      <c r="O262" s="408"/>
      <c r="P262" s="639">
        <f t="shared" si="18"/>
        <v>2584046.21272342</v>
      </c>
      <c r="Q262" s="640"/>
      <c r="R262" s="640"/>
      <c r="S262" s="641"/>
      <c r="T262" s="388">
        <f>PCS!D262</f>
        <v>1562519.2478962874</v>
      </c>
      <c r="U262" s="379">
        <f>Police!U262</f>
        <v>250445.8971278368</v>
      </c>
      <c r="V262" s="431">
        <f t="shared" si="19"/>
        <v>4397011.3577475445</v>
      </c>
      <c r="W262" s="229"/>
      <c r="X262" s="229"/>
      <c r="Y262" s="229"/>
      <c r="Z262" s="99"/>
    </row>
    <row r="263" spans="1:26" x14ac:dyDescent="0.25">
      <c r="A263" s="208">
        <f>Données!A263</f>
        <v>5861</v>
      </c>
      <c r="B263" s="209" t="str">
        <f>Données!B263</f>
        <v>Rolle</v>
      </c>
      <c r="C263" s="387">
        <f>Ressources!H263</f>
        <v>32636216.800210144</v>
      </c>
      <c r="D263" s="387">
        <f>Ressources!L263</f>
        <v>0</v>
      </c>
      <c r="E263" s="430">
        <f>Ressources!T263</f>
        <v>106710.67349237972</v>
      </c>
      <c r="F263" s="388">
        <f t="shared" si="15"/>
        <v>32742927.473702524</v>
      </c>
      <c r="G263" s="387">
        <f>'Besoins structurels'!I263</f>
        <v>0</v>
      </c>
      <c r="H263" s="387">
        <f>'Besoins structurels'!N263</f>
        <v>0</v>
      </c>
      <c r="I263" s="387">
        <f>'Besoins structurels'!V263</f>
        <v>0</v>
      </c>
      <c r="J263" s="389">
        <f t="shared" si="16"/>
        <v>0</v>
      </c>
      <c r="K263" s="387">
        <f>'Charges des villes'!N263</f>
        <v>654434.17992119817</v>
      </c>
      <c r="L263" s="387">
        <f>'Charges des villes'!U263</f>
        <v>453935.63619497651</v>
      </c>
      <c r="M263" s="378">
        <f t="shared" si="17"/>
        <v>1108369.8161161747</v>
      </c>
      <c r="N263" s="388">
        <f>-VLOOKUP(A263,Paramètres!$B$23:$C$322,2,FALSE)*$N$5</f>
        <v>0</v>
      </c>
      <c r="O263" s="408"/>
      <c r="P263" s="639">
        <f t="shared" si="18"/>
        <v>33851297.289818697</v>
      </c>
      <c r="Q263" s="640"/>
      <c r="R263" s="640"/>
      <c r="S263" s="641"/>
      <c r="T263" s="388">
        <f>PCS!D263</f>
        <v>6432108.5160566941</v>
      </c>
      <c r="U263" s="379">
        <f>Police!U263</f>
        <v>1172879.0689750472</v>
      </c>
      <c r="V263" s="431">
        <f t="shared" si="19"/>
        <v>41456284.874850437</v>
      </c>
      <c r="W263" s="229"/>
      <c r="X263" s="229"/>
      <c r="Y263" s="229"/>
      <c r="Z263" s="99"/>
    </row>
    <row r="264" spans="1:26" x14ac:dyDescent="0.25">
      <c r="A264" s="208">
        <f>Données!A264</f>
        <v>5862</v>
      </c>
      <c r="B264" s="209" t="str">
        <f>Données!B264</f>
        <v>Tartegnin</v>
      </c>
      <c r="C264" s="387">
        <f>Ressources!H264</f>
        <v>48514.595481203571</v>
      </c>
      <c r="D264" s="387">
        <f>Ressources!L264</f>
        <v>0</v>
      </c>
      <c r="E264" s="430">
        <f>Ressources!T264</f>
        <v>-31045.634556189932</v>
      </c>
      <c r="F264" s="388">
        <f t="shared" si="15"/>
        <v>17468.960925013638</v>
      </c>
      <c r="G264" s="387">
        <f>'Besoins structurels'!I264</f>
        <v>0</v>
      </c>
      <c r="H264" s="387">
        <f>'Besoins structurels'!N264</f>
        <v>0</v>
      </c>
      <c r="I264" s="387">
        <f>'Besoins structurels'!V264</f>
        <v>0</v>
      </c>
      <c r="J264" s="389">
        <f t="shared" si="16"/>
        <v>0</v>
      </c>
      <c r="K264" s="387">
        <f>'Charges des villes'!N264</f>
        <v>109711.31361120362</v>
      </c>
      <c r="L264" s="387">
        <f>'Charges des villes'!U264</f>
        <v>24072.039650360162</v>
      </c>
      <c r="M264" s="378">
        <f t="shared" si="17"/>
        <v>133783.35326156378</v>
      </c>
      <c r="N264" s="388">
        <f>-VLOOKUP(A264,Paramètres!$B$23:$C$322,2,FALSE)*$N$5</f>
        <v>0</v>
      </c>
      <c r="O264" s="408"/>
      <c r="P264" s="639">
        <f t="shared" si="18"/>
        <v>151252.31418657742</v>
      </c>
      <c r="Q264" s="640"/>
      <c r="R264" s="640"/>
      <c r="S264" s="641"/>
      <c r="T264" s="388">
        <f>PCS!D264</f>
        <v>234181.09634717659</v>
      </c>
      <c r="U264" s="379">
        <f>Police!U264</f>
        <v>35323.131174758229</v>
      </c>
      <c r="V264" s="431">
        <f t="shared" si="19"/>
        <v>420756.54170851229</v>
      </c>
      <c r="W264" s="229"/>
      <c r="X264" s="229"/>
      <c r="Y264" s="229"/>
      <c r="Z264" s="99"/>
    </row>
    <row r="265" spans="1:26" x14ac:dyDescent="0.25">
      <c r="A265" s="208">
        <f>Données!A265</f>
        <v>5863</v>
      </c>
      <c r="B265" s="209" t="str">
        <f>Données!B265</f>
        <v>Vinzel</v>
      </c>
      <c r="C265" s="387">
        <f>Ressources!H265</f>
        <v>49202.3004606307</v>
      </c>
      <c r="D265" s="387">
        <f>Ressources!L265</f>
        <v>0</v>
      </c>
      <c r="E265" s="430">
        <f>Ressources!T265</f>
        <v>-20358.22041279624</v>
      </c>
      <c r="F265" s="388">
        <f t="shared" ref="F265:F307" si="20">SUM(C265:E265)</f>
        <v>28844.080047834461</v>
      </c>
      <c r="G265" s="387">
        <f>'Besoins structurels'!I265</f>
        <v>0</v>
      </c>
      <c r="H265" s="387">
        <f>'Besoins structurels'!N265</f>
        <v>0</v>
      </c>
      <c r="I265" s="387">
        <f>'Besoins structurels'!V265</f>
        <v>0</v>
      </c>
      <c r="J265" s="389">
        <f t="shared" ref="J265:J307" si="21">SUM(G265:I265)</f>
        <v>0</v>
      </c>
      <c r="K265" s="387">
        <f>'Charges des villes'!N265</f>
        <v>178396.12759468824</v>
      </c>
      <c r="L265" s="387">
        <f>'Charges des villes'!U265</f>
        <v>39142.35018777052</v>
      </c>
      <c r="M265" s="378">
        <f t="shared" ref="M265:M307" si="22">SUM(K265:L265)</f>
        <v>217538.47778245877</v>
      </c>
      <c r="N265" s="388">
        <f>-VLOOKUP(A265,Paramètres!$B$23:$C$322,2,FALSE)*$N$5</f>
        <v>0</v>
      </c>
      <c r="O265" s="408"/>
      <c r="P265" s="639">
        <f t="shared" ref="P265:P307" si="23">F265+J265+M265+N265</f>
        <v>246382.55783029323</v>
      </c>
      <c r="Q265" s="640"/>
      <c r="R265" s="640"/>
      <c r="S265" s="641"/>
      <c r="T265" s="388">
        <f>PCS!D265</f>
        <v>380790.2701107451</v>
      </c>
      <c r="U265" s="379">
        <f>Police!U265</f>
        <v>57437.192288367376</v>
      </c>
      <c r="V265" s="431">
        <f t="shared" ref="V265:V307" si="24">P265+T265+U265</f>
        <v>684610.02022940572</v>
      </c>
      <c r="W265" s="229"/>
      <c r="X265" s="229"/>
      <c r="Y265" s="229"/>
      <c r="Z265" s="99"/>
    </row>
    <row r="266" spans="1:26" x14ac:dyDescent="0.25">
      <c r="A266" s="208">
        <f>Données!A266</f>
        <v>5871</v>
      </c>
      <c r="B266" s="209" t="str">
        <f>Données!B266</f>
        <v>L'Abbaye</v>
      </c>
      <c r="C266" s="387">
        <f>Ressources!H266</f>
        <v>-1372080.0557379676</v>
      </c>
      <c r="D266" s="387">
        <f>Ressources!L266</f>
        <v>0</v>
      </c>
      <c r="E266" s="430">
        <f>Ressources!T266</f>
        <v>47451.763708318816</v>
      </c>
      <c r="F266" s="388">
        <f t="shared" si="20"/>
        <v>-1324628.2920296488</v>
      </c>
      <c r="G266" s="387">
        <f>'Besoins structurels'!I266</f>
        <v>-206673</v>
      </c>
      <c r="H266" s="387">
        <f>'Besoins structurels'!N266</f>
        <v>-183488</v>
      </c>
      <c r="I266" s="387">
        <f>'Besoins structurels'!V266</f>
        <v>0</v>
      </c>
      <c r="J266" s="389">
        <f t="shared" si="21"/>
        <v>-390161</v>
      </c>
      <c r="K266" s="387">
        <f>'Charges des villes'!N266</f>
        <v>580261.88330758922</v>
      </c>
      <c r="L266" s="387">
        <f>'Charges des villes'!U266</f>
        <v>155557.97051367199</v>
      </c>
      <c r="M266" s="378">
        <f t="shared" si="22"/>
        <v>735819.8538212612</v>
      </c>
      <c r="N266" s="388">
        <f>-VLOOKUP(A266,Paramètres!$B$23:$C$322,2,FALSE)*$N$5</f>
        <v>0</v>
      </c>
      <c r="O266" s="408"/>
      <c r="P266" s="639">
        <f t="shared" si="23"/>
        <v>-978969.43820838758</v>
      </c>
      <c r="Q266" s="640"/>
      <c r="R266" s="640"/>
      <c r="S266" s="641"/>
      <c r="T266" s="388">
        <f>PCS!D266</f>
        <v>1513321.5385796537</v>
      </c>
      <c r="U266" s="379">
        <f>Police!U266</f>
        <v>241769.92947589495</v>
      </c>
      <c r="V266" s="431">
        <f t="shared" si="24"/>
        <v>776122.02984716115</v>
      </c>
      <c r="W266" s="229"/>
      <c r="X266" s="229"/>
      <c r="Y266" s="229"/>
      <c r="Z266" s="99"/>
    </row>
    <row r="267" spans="1:26" x14ac:dyDescent="0.25">
      <c r="A267" s="208">
        <f>Données!A267</f>
        <v>5872</v>
      </c>
      <c r="B267" s="209" t="str">
        <f>Données!B267</f>
        <v>Le Chenit</v>
      </c>
      <c r="C267" s="387">
        <f>Ressources!H267</f>
        <v>6688603.5410598833</v>
      </c>
      <c r="D267" s="387">
        <f>Ressources!L267</f>
        <v>0</v>
      </c>
      <c r="E267" s="430">
        <f>Ressources!T267</f>
        <v>1487284.9188762014</v>
      </c>
      <c r="F267" s="388">
        <f t="shared" si="20"/>
        <v>8175888.4599360842</v>
      </c>
      <c r="G267" s="387">
        <f>'Besoins structurels'!I267</f>
        <v>-644471</v>
      </c>
      <c r="H267" s="387">
        <f>'Besoins structurels'!N267</f>
        <v>-353534</v>
      </c>
      <c r="I267" s="387">
        <f>'Besoins structurels'!V267</f>
        <v>0</v>
      </c>
      <c r="J267" s="389">
        <f t="shared" si="21"/>
        <v>-998005</v>
      </c>
      <c r="K267" s="387">
        <f>'Charges des villes'!N267</f>
        <v>780032.40476610977</v>
      </c>
      <c r="L267" s="387">
        <f>'Charges des villes'!U267</f>
        <v>481440.79300720326</v>
      </c>
      <c r="M267" s="378">
        <f t="shared" si="22"/>
        <v>1261473.1977733131</v>
      </c>
      <c r="N267" s="388">
        <f>-VLOOKUP(A267,Paramètres!$B$23:$C$322,2,FALSE)*$N$5</f>
        <v>-61200</v>
      </c>
      <c r="O267" s="408"/>
      <c r="P267" s="639">
        <f t="shared" si="23"/>
        <v>8378156.6577093974</v>
      </c>
      <c r="Q267" s="640"/>
      <c r="R267" s="640"/>
      <c r="S267" s="641"/>
      <c r="T267" s="388">
        <f>PCS!D267</f>
        <v>4683621.9269435313</v>
      </c>
      <c r="U267" s="379">
        <f>Police!U267</f>
        <v>822939.78020512126</v>
      </c>
      <c r="V267" s="431">
        <f t="shared" si="24"/>
        <v>13884718.36485805</v>
      </c>
      <c r="W267" s="229"/>
      <c r="X267" s="229"/>
      <c r="Y267" s="229"/>
      <c r="Z267" s="99"/>
    </row>
    <row r="268" spans="1:26" x14ac:dyDescent="0.25">
      <c r="A268" s="208">
        <f>Données!A268</f>
        <v>5873</v>
      </c>
      <c r="B268" s="209" t="str">
        <f>Données!B268</f>
        <v>Le Lieu</v>
      </c>
      <c r="C268" s="387">
        <f>Ressources!H268</f>
        <v>-764264.55766486423</v>
      </c>
      <c r="D268" s="387">
        <f>Ressources!L268</f>
        <v>0</v>
      </c>
      <c r="E268" s="430">
        <f>Ressources!T268</f>
        <v>265296.02924590046</v>
      </c>
      <c r="F268" s="388">
        <f t="shared" si="20"/>
        <v>-498968.52841896378</v>
      </c>
      <c r="G268" s="387">
        <f>'Besoins structurels'!I268</f>
        <v>-261413</v>
      </c>
      <c r="H268" s="387">
        <f>'Besoins structurels'!N268</f>
        <v>-66538</v>
      </c>
      <c r="I268" s="387">
        <f>'Besoins structurels'!V268</f>
        <v>0</v>
      </c>
      <c r="J268" s="389">
        <f t="shared" si="21"/>
        <v>-327951</v>
      </c>
      <c r="K268" s="387">
        <f>'Charges des villes'!N268</f>
        <v>426399.01298471994</v>
      </c>
      <c r="L268" s="387">
        <f>'Charges des villes'!U268</f>
        <v>93557.296960433407</v>
      </c>
      <c r="M268" s="378">
        <f t="shared" si="22"/>
        <v>519956.30994515336</v>
      </c>
      <c r="N268" s="388">
        <f>-VLOOKUP(A268,Paramètres!$B$23:$C$322,2,FALSE)*$N$5</f>
        <v>-288100</v>
      </c>
      <c r="O268" s="408"/>
      <c r="P268" s="639">
        <f t="shared" si="23"/>
        <v>-595063.21847381047</v>
      </c>
      <c r="Q268" s="640"/>
      <c r="R268" s="640"/>
      <c r="S268" s="641"/>
      <c r="T268" s="388">
        <f>PCS!D268</f>
        <v>910157.62235772412</v>
      </c>
      <c r="U268" s="379">
        <f>Police!U268</f>
        <v>137285.27872542589</v>
      </c>
      <c r="V268" s="431">
        <f t="shared" si="24"/>
        <v>452379.68260933954</v>
      </c>
      <c r="W268" s="229"/>
      <c r="X268" s="229"/>
      <c r="Y268" s="229"/>
      <c r="Z268" s="99"/>
    </row>
    <row r="269" spans="1:26" x14ac:dyDescent="0.25">
      <c r="A269" s="208">
        <f>Données!A269</f>
        <v>5882</v>
      </c>
      <c r="B269" s="209" t="str">
        <f>Données!B269</f>
        <v>Chardonne</v>
      </c>
      <c r="C269" s="387">
        <f>Ressources!H269</f>
        <v>1989276.2711478462</v>
      </c>
      <c r="D269" s="387">
        <f>Ressources!L269</f>
        <v>0</v>
      </c>
      <c r="E269" s="430">
        <f>Ressources!T269</f>
        <v>767.57492573792115</v>
      </c>
      <c r="F269" s="388">
        <f t="shared" si="20"/>
        <v>1990043.8460735842</v>
      </c>
      <c r="G269" s="387">
        <f>'Besoins structurels'!I269</f>
        <v>0</v>
      </c>
      <c r="H269" s="387">
        <f>'Besoins structurels'!N269</f>
        <v>-212992</v>
      </c>
      <c r="I269" s="387">
        <f>'Besoins structurels'!V269</f>
        <v>0</v>
      </c>
      <c r="J269" s="389">
        <f t="shared" si="21"/>
        <v>-212992</v>
      </c>
      <c r="K269" s="387">
        <f>'Charges des villes'!N269</f>
        <v>880397.89676373219</v>
      </c>
      <c r="L269" s="387">
        <f>'Charges des villes'!U269</f>
        <v>337817.69929497037</v>
      </c>
      <c r="M269" s="378">
        <f t="shared" si="22"/>
        <v>1218215.5960587026</v>
      </c>
      <c r="N269" s="388">
        <f>-VLOOKUP(A269,Paramètres!$B$23:$C$322,2,FALSE)*$N$5</f>
        <v>0</v>
      </c>
      <c r="O269" s="408"/>
      <c r="P269" s="639">
        <f t="shared" si="23"/>
        <v>2995267.4421322867</v>
      </c>
      <c r="Q269" s="640"/>
      <c r="R269" s="640"/>
      <c r="S269" s="641"/>
      <c r="T269" s="388">
        <f>PCS!D269</f>
        <v>3286406.9823511336</v>
      </c>
      <c r="U269" s="379">
        <f>Police!U269</f>
        <v>102978.41976444027</v>
      </c>
      <c r="V269" s="431">
        <f t="shared" si="24"/>
        <v>6384652.8442478608</v>
      </c>
      <c r="W269" s="229"/>
      <c r="X269" s="229"/>
      <c r="Y269" s="229"/>
      <c r="Z269" s="99"/>
    </row>
    <row r="270" spans="1:26" x14ac:dyDescent="0.25">
      <c r="A270" s="208">
        <f>Données!A270</f>
        <v>5883</v>
      </c>
      <c r="B270" s="209" t="str">
        <f>Données!B270</f>
        <v>Corseaux</v>
      </c>
      <c r="C270" s="387">
        <f>Ressources!H270</f>
        <v>3931151.1461576391</v>
      </c>
      <c r="D270" s="387">
        <f>Ressources!L270</f>
        <v>0</v>
      </c>
      <c r="E270" s="430">
        <f>Ressources!T270</f>
        <v>34513.012523222656</v>
      </c>
      <c r="F270" s="388">
        <f t="shared" si="20"/>
        <v>3965664.1586808618</v>
      </c>
      <c r="G270" s="387">
        <f>'Besoins structurels'!I270</f>
        <v>0</v>
      </c>
      <c r="H270" s="387">
        <f>'Besoins structurels'!N270</f>
        <v>0</v>
      </c>
      <c r="I270" s="387">
        <f>'Besoins structurels'!V270</f>
        <v>0</v>
      </c>
      <c r="J270" s="389">
        <f t="shared" si="21"/>
        <v>0</v>
      </c>
      <c r="K270" s="387">
        <f>'Charges des villes'!N270</f>
        <v>754097.09197762492</v>
      </c>
      <c r="L270" s="387">
        <f>'Charges des villes'!U270</f>
        <v>60047.101126623107</v>
      </c>
      <c r="M270" s="378">
        <f t="shared" si="22"/>
        <v>814144.19310424803</v>
      </c>
      <c r="N270" s="388">
        <f>-VLOOKUP(A270,Paramètres!$B$23:$C$322,2,FALSE)*$N$5</f>
        <v>0</v>
      </c>
      <c r="O270" s="408"/>
      <c r="P270" s="639">
        <f t="shared" si="23"/>
        <v>4779808.3517851103</v>
      </c>
      <c r="Q270" s="640"/>
      <c r="R270" s="640"/>
      <c r="S270" s="641"/>
      <c r="T270" s="388">
        <f>PCS!D270</f>
        <v>2284741.6206644708</v>
      </c>
      <c r="U270" s="379">
        <f>Police!U270</f>
        <v>71591.584039829439</v>
      </c>
      <c r="V270" s="431">
        <f t="shared" si="24"/>
        <v>7136141.5564894108</v>
      </c>
      <c r="W270" s="229"/>
      <c r="X270" s="229"/>
      <c r="Y270" s="229"/>
      <c r="Z270" s="99"/>
    </row>
    <row r="271" spans="1:26" x14ac:dyDescent="0.25">
      <c r="A271" s="208">
        <f>Données!A271</f>
        <v>5884</v>
      </c>
      <c r="B271" s="209" t="str">
        <f>Données!B271</f>
        <v>Corsier-sur-Vevey</v>
      </c>
      <c r="C271" s="387">
        <f>Ressources!H271</f>
        <v>-442809.15877375851</v>
      </c>
      <c r="D271" s="387">
        <f>Ressources!L271</f>
        <v>0</v>
      </c>
      <c r="E271" s="430">
        <f>Ressources!T271</f>
        <v>-84245.247335830587</v>
      </c>
      <c r="F271" s="388">
        <f t="shared" si="20"/>
        <v>-527054.40610958915</v>
      </c>
      <c r="G271" s="387">
        <f>'Besoins structurels'!I271</f>
        <v>0</v>
      </c>
      <c r="H271" s="387">
        <f>'Besoins structurels'!N271</f>
        <v>-166220</v>
      </c>
      <c r="I271" s="387">
        <f>'Besoins structurels'!V271</f>
        <v>0</v>
      </c>
      <c r="J271" s="389">
        <f t="shared" si="21"/>
        <v>-166220</v>
      </c>
      <c r="K271" s="387">
        <f>'Charges des villes'!N271</f>
        <v>876934.58049057447</v>
      </c>
      <c r="L271" s="387">
        <f>'Charges des villes'!U271</f>
        <v>-135035.69254172017</v>
      </c>
      <c r="M271" s="378">
        <f t="shared" si="22"/>
        <v>741898.88794885436</v>
      </c>
      <c r="N271" s="388">
        <f>-VLOOKUP(A271,Paramètres!$B$23:$C$322,2,FALSE)*$N$5</f>
        <v>0</v>
      </c>
      <c r="O271" s="408"/>
      <c r="P271" s="639">
        <f t="shared" si="23"/>
        <v>48624.481839265209</v>
      </c>
      <c r="Q271" s="640"/>
      <c r="R271" s="640"/>
      <c r="S271" s="641"/>
      <c r="T271" s="388">
        <f>PCS!D271</f>
        <v>3334620.7374814344</v>
      </c>
      <c r="U271" s="379">
        <f>Police!U271</f>
        <v>104489.18101248147</v>
      </c>
      <c r="V271" s="431">
        <f t="shared" si="24"/>
        <v>3487734.400333181</v>
      </c>
      <c r="W271" s="229"/>
      <c r="X271" s="229"/>
      <c r="Y271" s="229"/>
      <c r="Z271" s="99"/>
    </row>
    <row r="272" spans="1:26" x14ac:dyDescent="0.25">
      <c r="A272" s="208">
        <f>Données!A272</f>
        <v>5885</v>
      </c>
      <c r="B272" s="209" t="str">
        <f>Données!B272</f>
        <v>Jongny</v>
      </c>
      <c r="C272" s="387">
        <f>Ressources!H272</f>
        <v>555276.47743118193</v>
      </c>
      <c r="D272" s="387">
        <f>Ressources!L272</f>
        <v>0</v>
      </c>
      <c r="E272" s="430">
        <f>Ressources!T272</f>
        <v>-66243.398560675909</v>
      </c>
      <c r="F272" s="388">
        <f t="shared" si="20"/>
        <v>489033.07887050603</v>
      </c>
      <c r="G272" s="387">
        <f>'Besoins structurels'!I272</f>
        <v>0</v>
      </c>
      <c r="H272" s="387">
        <f>'Besoins structurels'!N272</f>
        <v>-21980</v>
      </c>
      <c r="I272" s="387">
        <f>'Besoins structurels'!V272</f>
        <v>0</v>
      </c>
      <c r="J272" s="389">
        <f t="shared" si="21"/>
        <v>-21980</v>
      </c>
      <c r="K272" s="387">
        <f>'Charges des villes'!N272</f>
        <v>665183.93040022138</v>
      </c>
      <c r="L272" s="387">
        <f>'Charges des villes'!U272</f>
        <v>194295.74860647845</v>
      </c>
      <c r="M272" s="378">
        <f t="shared" si="22"/>
        <v>859479.67900669982</v>
      </c>
      <c r="N272" s="388">
        <f>-VLOOKUP(A272,Paramètres!$B$23:$C$322,2,FALSE)*$N$5</f>
        <v>0</v>
      </c>
      <c r="O272" s="408"/>
      <c r="P272" s="639">
        <f t="shared" si="23"/>
        <v>1326532.757877206</v>
      </c>
      <c r="Q272" s="640"/>
      <c r="R272" s="640"/>
      <c r="S272" s="641"/>
      <c r="T272" s="388">
        <f>PCS!D272</f>
        <v>1890175.9919450681</v>
      </c>
      <c r="U272" s="379">
        <f>Police!U272</f>
        <v>59228.007295655618</v>
      </c>
      <c r="V272" s="431">
        <f t="shared" si="24"/>
        <v>3275936.7571179294</v>
      </c>
      <c r="W272" s="229"/>
      <c r="X272" s="229"/>
      <c r="Y272" s="229"/>
      <c r="Z272" s="99"/>
    </row>
    <row r="273" spans="1:26" x14ac:dyDescent="0.25">
      <c r="A273" s="208">
        <f>Données!A273</f>
        <v>5886</v>
      </c>
      <c r="B273" s="209" t="str">
        <f>Données!B273</f>
        <v>Montreux</v>
      </c>
      <c r="C273" s="387">
        <f>Ressources!H273</f>
        <v>-12062233.420781245</v>
      </c>
      <c r="D273" s="387">
        <f>Ressources!L273</f>
        <v>0</v>
      </c>
      <c r="E273" s="430">
        <f>Ressources!T273</f>
        <v>7562377.9126340114</v>
      </c>
      <c r="F273" s="388">
        <f t="shared" si="20"/>
        <v>-4499855.5081472341</v>
      </c>
      <c r="G273" s="387">
        <f>'Besoins structurels'!I273</f>
        <v>0</v>
      </c>
      <c r="H273" s="387">
        <f>'Besoins structurels'!N273</f>
        <v>-610934</v>
      </c>
      <c r="I273" s="387">
        <f>'Besoins structurels'!V273</f>
        <v>0</v>
      </c>
      <c r="J273" s="389">
        <f t="shared" si="21"/>
        <v>-610934</v>
      </c>
      <c r="K273" s="387">
        <f>'Charges des villes'!N273</f>
        <v>-7392141.362346828</v>
      </c>
      <c r="L273" s="387">
        <f>'Charges des villes'!U273</f>
        <v>446721.89215256879</v>
      </c>
      <c r="M273" s="378">
        <f t="shared" si="22"/>
        <v>-6945419.4701942597</v>
      </c>
      <c r="N273" s="388">
        <f>-VLOOKUP(A273,Paramètres!$B$23:$C$322,2,FALSE)*$N$5</f>
        <v>0</v>
      </c>
      <c r="O273" s="408"/>
      <c r="P273" s="639">
        <f t="shared" si="23"/>
        <v>-12056208.978341494</v>
      </c>
      <c r="Q273" s="640"/>
      <c r="R273" s="640"/>
      <c r="S273" s="641"/>
      <c r="T273" s="388">
        <f>PCS!D273</f>
        <v>26531340.680274241</v>
      </c>
      <c r="U273" s="379">
        <f>Police!U273</f>
        <v>831350.33249352325</v>
      </c>
      <c r="V273" s="431">
        <f t="shared" si="24"/>
        <v>15306482.03442627</v>
      </c>
      <c r="W273" s="229"/>
      <c r="X273" s="229"/>
      <c r="Y273" s="229"/>
      <c r="Z273" s="99"/>
    </row>
    <row r="274" spans="1:26" x14ac:dyDescent="0.25">
      <c r="A274" s="208">
        <f>Données!A274</f>
        <v>5889</v>
      </c>
      <c r="B274" s="209" t="str">
        <f>Données!B274</f>
        <v>La Tour-de-Peilz</v>
      </c>
      <c r="C274" s="387">
        <f>Ressources!H274</f>
        <v>5138293.1316573508</v>
      </c>
      <c r="D274" s="387">
        <f>Ressources!L274</f>
        <v>0</v>
      </c>
      <c r="E274" s="430">
        <f>Ressources!T274</f>
        <v>1113221.9854037585</v>
      </c>
      <c r="F274" s="388">
        <f t="shared" si="20"/>
        <v>6251515.1170611093</v>
      </c>
      <c r="G274" s="387">
        <f>'Besoins structurels'!I274</f>
        <v>0</v>
      </c>
      <c r="H274" s="387">
        <f>'Besoins structurels'!N274</f>
        <v>0</v>
      </c>
      <c r="I274" s="387">
        <f>'Besoins structurels'!V274</f>
        <v>0</v>
      </c>
      <c r="J274" s="389">
        <f t="shared" si="21"/>
        <v>0</v>
      </c>
      <c r="K274" s="387">
        <f>'Charges des villes'!N274</f>
        <v>-112858.30720646493</v>
      </c>
      <c r="L274" s="387">
        <f>'Charges des villes'!U274</f>
        <v>165217.02016980853</v>
      </c>
      <c r="M274" s="378">
        <f t="shared" si="22"/>
        <v>52358.712963343598</v>
      </c>
      <c r="N274" s="388">
        <f>-VLOOKUP(A274,Paramètres!$B$23:$C$322,2,FALSE)*$N$5</f>
        <v>0</v>
      </c>
      <c r="O274" s="408"/>
      <c r="P274" s="639">
        <f t="shared" si="23"/>
        <v>6303873.8300244529</v>
      </c>
      <c r="Q274" s="640"/>
      <c r="R274" s="640"/>
      <c r="S274" s="641"/>
      <c r="T274" s="388">
        <f>PCS!D274</f>
        <v>12606421.035294227</v>
      </c>
      <c r="U274" s="379">
        <f>Police!U274</f>
        <v>395017.81856946374</v>
      </c>
      <c r="V274" s="431">
        <f t="shared" si="24"/>
        <v>19305312.683888141</v>
      </c>
      <c r="W274" s="229"/>
      <c r="X274" s="229"/>
      <c r="Y274" s="229"/>
      <c r="Z274" s="99"/>
    </row>
    <row r="275" spans="1:26" x14ac:dyDescent="0.25">
      <c r="A275" s="208">
        <f>Données!A275</f>
        <v>5890</v>
      </c>
      <c r="B275" s="209" t="str">
        <f>Données!B275</f>
        <v>Vevey</v>
      </c>
      <c r="C275" s="387">
        <f>Ressources!H275</f>
        <v>4207832.5048401803</v>
      </c>
      <c r="D275" s="387">
        <f>Ressources!L275</f>
        <v>0</v>
      </c>
      <c r="E275" s="430">
        <f>Ressources!T275</f>
        <v>-1737286.3462563124</v>
      </c>
      <c r="F275" s="388">
        <f t="shared" si="20"/>
        <v>2470546.1585838678</v>
      </c>
      <c r="G275" s="387">
        <f>'Besoins structurels'!I275</f>
        <v>0</v>
      </c>
      <c r="H275" s="387">
        <f>'Besoins structurels'!N275</f>
        <v>0</v>
      </c>
      <c r="I275" s="387">
        <f>'Besoins structurels'!V275</f>
        <v>0</v>
      </c>
      <c r="J275" s="389">
        <f t="shared" si="21"/>
        <v>0</v>
      </c>
      <c r="K275" s="387">
        <f>'Charges des villes'!N275</f>
        <v>-3829163.7912565451</v>
      </c>
      <c r="L275" s="387">
        <f>'Charges des villes'!U275</f>
        <v>160793.75628636917</v>
      </c>
      <c r="M275" s="378">
        <f t="shared" si="22"/>
        <v>-3668370.0349701759</v>
      </c>
      <c r="N275" s="388">
        <f>-VLOOKUP(A275,Paramètres!$B$23:$C$322,2,FALSE)*$N$5</f>
        <v>0</v>
      </c>
      <c r="O275" s="408"/>
      <c r="P275" s="639">
        <f t="shared" si="23"/>
        <v>-1197823.8763863081</v>
      </c>
      <c r="Q275" s="640"/>
      <c r="R275" s="640"/>
      <c r="S275" s="641"/>
      <c r="T275" s="388">
        <f>PCS!D275</f>
        <v>19822741.037858065</v>
      </c>
      <c r="U275" s="379">
        <f>Police!U275</f>
        <v>621138.69598036341</v>
      </c>
      <c r="V275" s="431">
        <f t="shared" si="24"/>
        <v>19246055.857452121</v>
      </c>
      <c r="W275" s="229"/>
      <c r="X275" s="229"/>
      <c r="Y275" s="229"/>
      <c r="Z275" s="99"/>
    </row>
    <row r="276" spans="1:26" x14ac:dyDescent="0.25">
      <c r="A276" s="208">
        <f>Données!A276</f>
        <v>5891</v>
      </c>
      <c r="B276" s="209" t="str">
        <f>Données!B276</f>
        <v>Veytaux</v>
      </c>
      <c r="C276" s="387">
        <f>Ressources!H276</f>
        <v>-570152.7002299967</v>
      </c>
      <c r="D276" s="387">
        <f>Ressources!L276</f>
        <v>0</v>
      </c>
      <c r="E276" s="430">
        <f>Ressources!T276</f>
        <v>-73637.895996244129</v>
      </c>
      <c r="F276" s="388">
        <f t="shared" si="20"/>
        <v>-643790.59622624086</v>
      </c>
      <c r="G276" s="387">
        <f>'Besoins structurels'!I276</f>
        <v>0</v>
      </c>
      <c r="H276" s="387">
        <f>'Besoins structurels'!N276</f>
        <v>-6183</v>
      </c>
      <c r="I276" s="387">
        <f>'Besoins structurels'!V276</f>
        <v>0</v>
      </c>
      <c r="J276" s="389">
        <f t="shared" si="21"/>
        <v>-6183</v>
      </c>
      <c r="K276" s="387">
        <f>'Charges des villes'!N276</f>
        <v>470506.23497638042</v>
      </c>
      <c r="L276" s="387">
        <f>'Charges des villes'!U276</f>
        <v>-17128.626238127516</v>
      </c>
      <c r="M276" s="378">
        <f t="shared" si="22"/>
        <v>453377.60873825289</v>
      </c>
      <c r="N276" s="388">
        <f>-VLOOKUP(A276,Paramètres!$B$23:$C$322,2,FALSE)*$N$5</f>
        <v>-254100</v>
      </c>
      <c r="O276" s="408"/>
      <c r="P276" s="639">
        <f t="shared" si="23"/>
        <v>-450695.98748798796</v>
      </c>
      <c r="Q276" s="640"/>
      <c r="R276" s="640"/>
      <c r="S276" s="641"/>
      <c r="T276" s="388">
        <f>PCS!D276</f>
        <v>1026264.2163449797</v>
      </c>
      <c r="U276" s="379">
        <f>Police!U276</f>
        <v>32157.632279733894</v>
      </c>
      <c r="V276" s="431">
        <f t="shared" si="24"/>
        <v>607725.86113672564</v>
      </c>
      <c r="W276" s="229"/>
      <c r="X276" s="229"/>
      <c r="Y276" s="229"/>
      <c r="Z276" s="99"/>
    </row>
    <row r="277" spans="1:26" x14ac:dyDescent="0.25">
      <c r="A277" s="208">
        <f>Données!A277</f>
        <v>5892</v>
      </c>
      <c r="B277" s="209" t="str">
        <f>Données!B277</f>
        <v>Blonay-Saint-Légier</v>
      </c>
      <c r="C277" s="387">
        <f>Ressources!H277</f>
        <v>7517479.796758661</v>
      </c>
      <c r="D277" s="387">
        <f>Ressources!L277</f>
        <v>0</v>
      </c>
      <c r="E277" s="430">
        <f>Ressources!T277</f>
        <v>1099372.6234504408</v>
      </c>
      <c r="F277" s="388">
        <f t="shared" si="20"/>
        <v>8616852.4202091023</v>
      </c>
      <c r="G277" s="387">
        <f>'Besoins structurels'!I277</f>
        <v>0</v>
      </c>
      <c r="H277" s="387">
        <f>'Besoins structurels'!N277</f>
        <v>-207871</v>
      </c>
      <c r="I277" s="387">
        <f>'Besoins structurels'!V277</f>
        <v>0</v>
      </c>
      <c r="J277" s="389">
        <f t="shared" si="21"/>
        <v>-207871</v>
      </c>
      <c r="K277" s="387">
        <f>'Charges des villes'!N277</f>
        <v>50968.852718131617</v>
      </c>
      <c r="L277" s="387">
        <f>'Charges des villes'!U277</f>
        <v>641259.10488419619</v>
      </c>
      <c r="M277" s="378">
        <f t="shared" si="22"/>
        <v>692227.95760232781</v>
      </c>
      <c r="N277" s="388">
        <f>-VLOOKUP(A277,Paramètres!$B$23:$C$322,2,FALSE)*$N$5</f>
        <v>-324400</v>
      </c>
      <c r="O277" s="408"/>
      <c r="P277" s="639">
        <f t="shared" si="23"/>
        <v>8776809.37781143</v>
      </c>
      <c r="Q277" s="640"/>
      <c r="R277" s="640"/>
      <c r="S277" s="641"/>
      <c r="T277" s="388">
        <f>PCS!D277</f>
        <v>12263021.024264125</v>
      </c>
      <c r="U277" s="379">
        <f>Police!U277</f>
        <v>384257.49865994585</v>
      </c>
      <c r="V277" s="431">
        <f t="shared" si="24"/>
        <v>21424087.900735501</v>
      </c>
      <c r="W277" s="229"/>
      <c r="X277" s="229"/>
      <c r="Y277" s="229"/>
      <c r="Z277" s="99"/>
    </row>
    <row r="278" spans="1:26" x14ac:dyDescent="0.25">
      <c r="A278" s="208">
        <f>Données!A278</f>
        <v>5902</v>
      </c>
      <c r="B278" s="209" t="str">
        <f>Données!B278</f>
        <v>Belmont-sur-Yverdon</v>
      </c>
      <c r="C278" s="387">
        <f>Ressources!H278</f>
        <v>-520014.69469412253</v>
      </c>
      <c r="D278" s="387">
        <f>Ressources!L278</f>
        <v>0</v>
      </c>
      <c r="E278" s="430">
        <f>Ressources!T278</f>
        <v>-75401.743497918142</v>
      </c>
      <c r="F278" s="388">
        <f t="shared" si="20"/>
        <v>-595416.43819204066</v>
      </c>
      <c r="G278" s="387">
        <f>'Besoins structurels'!I278</f>
        <v>-31731</v>
      </c>
      <c r="H278" s="387">
        <f>'Besoins structurels'!N278</f>
        <v>0</v>
      </c>
      <c r="I278" s="387">
        <f>'Besoins structurels'!V278</f>
        <v>-29737</v>
      </c>
      <c r="J278" s="389">
        <f t="shared" si="21"/>
        <v>-61468</v>
      </c>
      <c r="K278" s="387">
        <f>'Charges des villes'!N278</f>
        <v>205132.49813859502</v>
      </c>
      <c r="L278" s="387">
        <f>'Charges des villes'!U278</f>
        <v>45008.645564749044</v>
      </c>
      <c r="M278" s="378">
        <f t="shared" si="22"/>
        <v>250141.14370334407</v>
      </c>
      <c r="N278" s="388">
        <f>-VLOOKUP(A278,Paramètres!$B$23:$C$322,2,FALSE)*$N$5</f>
        <v>0</v>
      </c>
      <c r="O278" s="408"/>
      <c r="P278" s="639">
        <f t="shared" si="23"/>
        <v>-406743.29448869661</v>
      </c>
      <c r="Q278" s="640"/>
      <c r="R278" s="640"/>
      <c r="S278" s="641"/>
      <c r="T278" s="388">
        <f>PCS!D278</f>
        <v>437859.61291804025</v>
      </c>
      <c r="U278" s="379">
        <f>Police!U278</f>
        <v>66045.350305745436</v>
      </c>
      <c r="V278" s="431">
        <f t="shared" si="24"/>
        <v>97161.668735089072</v>
      </c>
      <c r="W278" s="229"/>
      <c r="X278" s="229"/>
      <c r="Y278" s="229"/>
      <c r="Z278" s="99"/>
    </row>
    <row r="279" spans="1:26" x14ac:dyDescent="0.25">
      <c r="A279" s="208">
        <f>Données!A279</f>
        <v>5903</v>
      </c>
      <c r="B279" s="209" t="str">
        <f>Données!B279</f>
        <v>Bioley-Magnoux</v>
      </c>
      <c r="C279" s="387">
        <f>Ressources!H279</f>
        <v>-305575.62225725758</v>
      </c>
      <c r="D279" s="387">
        <f>Ressources!L279</f>
        <v>0</v>
      </c>
      <c r="E279" s="430">
        <f>Ressources!T279</f>
        <v>-22246.230739247112</v>
      </c>
      <c r="F279" s="388">
        <f t="shared" si="20"/>
        <v>-327821.85299650469</v>
      </c>
      <c r="G279" s="387">
        <f>'Besoins structurels'!I279</f>
        <v>-23952</v>
      </c>
      <c r="H279" s="387">
        <f>'Besoins structurels'!N279</f>
        <v>0</v>
      </c>
      <c r="I279" s="387">
        <f>'Besoins structurels'!V279</f>
        <v>-51418</v>
      </c>
      <c r="J279" s="389">
        <f t="shared" si="21"/>
        <v>-75370</v>
      </c>
      <c r="K279" s="387">
        <f>'Charges des villes'!N279</f>
        <v>118469.77982386274</v>
      </c>
      <c r="L279" s="387">
        <f>'Charges des villes'!U279</f>
        <v>25993.757101439336</v>
      </c>
      <c r="M279" s="378">
        <f t="shared" si="22"/>
        <v>144463.53692530209</v>
      </c>
      <c r="N279" s="388">
        <f>-VLOOKUP(A279,Paramètres!$B$23:$C$322,2,FALSE)*$N$5</f>
        <v>-105700</v>
      </c>
      <c r="O279" s="408"/>
      <c r="P279" s="639">
        <f t="shared" si="23"/>
        <v>-364428.31607120263</v>
      </c>
      <c r="Q279" s="640"/>
      <c r="R279" s="640"/>
      <c r="S279" s="641"/>
      <c r="T279" s="388">
        <f>PCS!D279</f>
        <v>252876.22588749739</v>
      </c>
      <c r="U279" s="379">
        <f>Police!U279</f>
        <v>38143.045008037247</v>
      </c>
      <c r="V279" s="431">
        <f t="shared" si="24"/>
        <v>-73409.045175667998</v>
      </c>
      <c r="W279" s="229"/>
      <c r="X279" s="229"/>
      <c r="Y279" s="229"/>
      <c r="Z279" s="99"/>
    </row>
    <row r="280" spans="1:26" x14ac:dyDescent="0.25">
      <c r="A280" s="208">
        <f>Données!A280</f>
        <v>5904</v>
      </c>
      <c r="B280" s="209" t="str">
        <f>Données!B280</f>
        <v>Chamblon</v>
      </c>
      <c r="C280" s="387">
        <f>Ressources!H280</f>
        <v>-559801.27778453403</v>
      </c>
      <c r="D280" s="387">
        <f>Ressources!L280</f>
        <v>0</v>
      </c>
      <c r="E280" s="430">
        <f>Ressources!T280</f>
        <v>-54042.367916509334</v>
      </c>
      <c r="F280" s="388">
        <f t="shared" si="20"/>
        <v>-613843.64570104331</v>
      </c>
      <c r="G280" s="387">
        <f>'Besoins structurels'!I280</f>
        <v>0</v>
      </c>
      <c r="H280" s="387">
        <f>'Besoins structurels'!N280</f>
        <v>0</v>
      </c>
      <c r="I280" s="387">
        <f>'Besoins structurels'!V280</f>
        <v>0</v>
      </c>
      <c r="J280" s="389">
        <f t="shared" si="21"/>
        <v>0</v>
      </c>
      <c r="K280" s="387">
        <f>'Charges des villes'!N280</f>
        <v>255378.43588490257</v>
      </c>
      <c r="L280" s="387">
        <f>'Charges des villes'!U280</f>
        <v>56033.235152519032</v>
      </c>
      <c r="M280" s="378">
        <f t="shared" si="22"/>
        <v>311411.67103742162</v>
      </c>
      <c r="N280" s="388">
        <f>-VLOOKUP(A280,Paramètres!$B$23:$C$322,2,FALSE)*$N$5</f>
        <v>0</v>
      </c>
      <c r="O280" s="408"/>
      <c r="P280" s="639">
        <f t="shared" si="23"/>
        <v>-302431.97466362169</v>
      </c>
      <c r="Q280" s="640"/>
      <c r="R280" s="640"/>
      <c r="S280" s="641"/>
      <c r="T280" s="388">
        <f>PCS!D280</f>
        <v>545110.6192283018</v>
      </c>
      <c r="U280" s="379">
        <f>Police!U280</f>
        <v>17080.851661526922</v>
      </c>
      <c r="V280" s="431">
        <f t="shared" si="24"/>
        <v>259759.49622620703</v>
      </c>
      <c r="W280" s="229"/>
      <c r="X280" s="229"/>
      <c r="Y280" s="229"/>
      <c r="Z280" s="99"/>
    </row>
    <row r="281" spans="1:26" x14ac:dyDescent="0.25">
      <c r="A281" s="208">
        <f>Données!A281</f>
        <v>5905</v>
      </c>
      <c r="B281" s="209" t="str">
        <f>Données!B281</f>
        <v>Champvent</v>
      </c>
      <c r="C281" s="387">
        <f>Ressources!H281</f>
        <v>-799129.88651834941</v>
      </c>
      <c r="D281" s="387">
        <f>Ressources!L281</f>
        <v>0</v>
      </c>
      <c r="E281" s="430">
        <f>Ressources!T281</f>
        <v>-44632.763564023946</v>
      </c>
      <c r="F281" s="388">
        <f t="shared" si="20"/>
        <v>-843762.65008237329</v>
      </c>
      <c r="G281" s="387">
        <f>'Besoins structurels'!I281</f>
        <v>-35165</v>
      </c>
      <c r="H281" s="387">
        <f>'Besoins structurels'!N281</f>
        <v>0</v>
      </c>
      <c r="I281" s="387">
        <f>'Besoins structurels'!V281</f>
        <v>-84610</v>
      </c>
      <c r="J281" s="389">
        <f t="shared" si="21"/>
        <v>-119775</v>
      </c>
      <c r="K281" s="387">
        <f>'Charges des villes'!N281</f>
        <v>334204.63179883454</v>
      </c>
      <c r="L281" s="387">
        <f>'Charges des villes'!U281</f>
        <v>73328.692212231588</v>
      </c>
      <c r="M281" s="378">
        <f t="shared" si="22"/>
        <v>407533.32401106611</v>
      </c>
      <c r="N281" s="388">
        <f>-VLOOKUP(A281,Paramètres!$B$23:$C$322,2,FALSE)*$N$5</f>
        <v>0</v>
      </c>
      <c r="O281" s="408"/>
      <c r="P281" s="639">
        <f t="shared" si="23"/>
        <v>-556004.32607130718</v>
      </c>
      <c r="Q281" s="640"/>
      <c r="R281" s="640"/>
      <c r="S281" s="641"/>
      <c r="T281" s="388">
        <f>PCS!D281</f>
        <v>713366.78509118909</v>
      </c>
      <c r="U281" s="379">
        <f>Police!U281</f>
        <v>107601.9752172257</v>
      </c>
      <c r="V281" s="431">
        <f t="shared" si="24"/>
        <v>264964.43423710763</v>
      </c>
      <c r="W281" s="229"/>
      <c r="X281" s="229"/>
      <c r="Y281" s="229"/>
      <c r="Z281" s="99"/>
    </row>
    <row r="282" spans="1:26" x14ac:dyDescent="0.25">
      <c r="A282" s="208">
        <f>Données!A282</f>
        <v>5907</v>
      </c>
      <c r="B282" s="209" t="str">
        <f>Données!B282</f>
        <v>Chavannes-le-Chêne</v>
      </c>
      <c r="C282" s="387">
        <f>Ressources!H282</f>
        <v>-436045.7885764938</v>
      </c>
      <c r="D282" s="387">
        <f>Ressources!L282</f>
        <v>-1450</v>
      </c>
      <c r="E282" s="430">
        <f>Ressources!T282</f>
        <v>-49915.805576021674</v>
      </c>
      <c r="F282" s="388">
        <f t="shared" si="20"/>
        <v>-487411.59415251546</v>
      </c>
      <c r="G282" s="387">
        <f>'Besoins structurels'!I282</f>
        <v>-15470</v>
      </c>
      <c r="H282" s="387">
        <f>'Besoins structurels'!N282</f>
        <v>0</v>
      </c>
      <c r="I282" s="387">
        <f>'Besoins structurels'!V282</f>
        <v>0</v>
      </c>
      <c r="J282" s="389">
        <f t="shared" si="21"/>
        <v>-15470</v>
      </c>
      <c r="K282" s="387">
        <f>'Charges des villes'!N282</f>
        <v>148432.95370927549</v>
      </c>
      <c r="L282" s="387">
        <f>'Charges des villes'!U282</f>
        <v>32568.053644604926</v>
      </c>
      <c r="M282" s="378">
        <f t="shared" si="22"/>
        <v>181001.00735388041</v>
      </c>
      <c r="N282" s="388">
        <f>-VLOOKUP(A282,Paramètres!$B$23:$C$322,2,FALSE)*$N$5</f>
        <v>-27800</v>
      </c>
      <c r="O282" s="408"/>
      <c r="P282" s="639">
        <f t="shared" si="23"/>
        <v>-349680.58679863508</v>
      </c>
      <c r="Q282" s="640"/>
      <c r="R282" s="640"/>
      <c r="S282" s="641"/>
      <c r="T282" s="388">
        <f>PCS!D282</f>
        <v>316833.24799912126</v>
      </c>
      <c r="U282" s="379">
        <f>Police!U282</f>
        <v>47790.118648202311</v>
      </c>
      <c r="V282" s="431">
        <f t="shared" si="24"/>
        <v>14942.779848688493</v>
      </c>
      <c r="W282" s="229"/>
      <c r="X282" s="229"/>
      <c r="Y282" s="229"/>
      <c r="Z282" s="99"/>
    </row>
    <row r="283" spans="1:26" x14ac:dyDescent="0.25">
      <c r="A283" s="208">
        <f>Données!A283</f>
        <v>5908</v>
      </c>
      <c r="B283" s="209" t="str">
        <f>Données!B283</f>
        <v>Chêne-Pâquier</v>
      </c>
      <c r="C283" s="387">
        <f>Ressources!H283</f>
        <v>-154100.67843950665</v>
      </c>
      <c r="D283" s="387">
        <f>Ressources!L283</f>
        <v>0</v>
      </c>
      <c r="E283" s="430">
        <f>Ressources!T283</f>
        <v>-12524.669719415375</v>
      </c>
      <c r="F283" s="388">
        <f t="shared" si="20"/>
        <v>-166625.34815892202</v>
      </c>
      <c r="G283" s="387">
        <f>'Besoins structurels'!I283</f>
        <v>-7536</v>
      </c>
      <c r="H283" s="387">
        <f>'Besoins structurels'!N283</f>
        <v>0</v>
      </c>
      <c r="I283" s="387">
        <f>'Besoins structurels'!V283</f>
        <v>-41464</v>
      </c>
      <c r="J283" s="389">
        <f t="shared" si="21"/>
        <v>-49000</v>
      </c>
      <c r="K283" s="387">
        <f>'Charges des villes'!N283</f>
        <v>79748.139725790868</v>
      </c>
      <c r="L283" s="387">
        <f>'Charges des villes'!U283</f>
        <v>17497.743107194572</v>
      </c>
      <c r="M283" s="378">
        <f t="shared" si="22"/>
        <v>97245.882832985444</v>
      </c>
      <c r="N283" s="388">
        <f>-VLOOKUP(A283,Paramètres!$B$23:$C$322,2,FALSE)*$N$5</f>
        <v>0</v>
      </c>
      <c r="O283" s="408"/>
      <c r="P283" s="639">
        <f t="shared" si="23"/>
        <v>-118379.46532593657</v>
      </c>
      <c r="Q283" s="640"/>
      <c r="R283" s="640"/>
      <c r="S283" s="641"/>
      <c r="T283" s="388">
        <f>PCS!D283</f>
        <v>170224.07423555272</v>
      </c>
      <c r="U283" s="379">
        <f>Police!U283</f>
        <v>25676.057534593165</v>
      </c>
      <c r="V283" s="431">
        <f t="shared" si="24"/>
        <v>77520.666444209317</v>
      </c>
      <c r="W283" s="229"/>
      <c r="X283" s="229"/>
      <c r="Y283" s="229"/>
      <c r="Z283" s="99"/>
    </row>
    <row r="284" spans="1:26" x14ac:dyDescent="0.25">
      <c r="A284" s="208">
        <f>Données!A284</f>
        <v>5909</v>
      </c>
      <c r="B284" s="209" t="str">
        <f>Données!B284</f>
        <v>Cheseaux-Noréaz</v>
      </c>
      <c r="C284" s="387">
        <f>Ressources!H284</f>
        <v>-261785.24570844116</v>
      </c>
      <c r="D284" s="387">
        <f>Ressources!L284</f>
        <v>0</v>
      </c>
      <c r="E284" s="430">
        <f>Ressources!T284</f>
        <v>74652.420612422633</v>
      </c>
      <c r="F284" s="388">
        <f t="shared" si="20"/>
        <v>-187132.82509601853</v>
      </c>
      <c r="G284" s="387">
        <f>'Besoins structurels'!I284</f>
        <v>0</v>
      </c>
      <c r="H284" s="387">
        <f>'Besoins structurels'!N284</f>
        <v>0</v>
      </c>
      <c r="I284" s="387">
        <f>'Besoins structurels'!V284</f>
        <v>0</v>
      </c>
      <c r="J284" s="389">
        <f t="shared" si="21"/>
        <v>0</v>
      </c>
      <c r="K284" s="387">
        <f>'Charges des villes'!N284</f>
        <v>338353.37895219942</v>
      </c>
      <c r="L284" s="387">
        <f>'Charges des villes'!U284</f>
        <v>20019.979425900674</v>
      </c>
      <c r="M284" s="378">
        <f t="shared" si="22"/>
        <v>358373.35837810009</v>
      </c>
      <c r="N284" s="388">
        <f>-VLOOKUP(A284,Paramètres!$B$23:$C$322,2,FALSE)*$N$5</f>
        <v>0</v>
      </c>
      <c r="O284" s="408"/>
      <c r="P284" s="639">
        <f t="shared" si="23"/>
        <v>171240.53328208157</v>
      </c>
      <c r="Q284" s="640"/>
      <c r="R284" s="640"/>
      <c r="S284" s="641"/>
      <c r="T284" s="388">
        <f>PCS!D284</f>
        <v>722222.37276818324</v>
      </c>
      <c r="U284" s="379">
        <f>Police!U284</f>
        <v>22630.586858412924</v>
      </c>
      <c r="V284" s="431">
        <f t="shared" si="24"/>
        <v>916093.49290867778</v>
      </c>
      <c r="W284" s="229"/>
      <c r="X284" s="229"/>
      <c r="Y284" s="229"/>
      <c r="Z284" s="99"/>
    </row>
    <row r="285" spans="1:26" x14ac:dyDescent="0.25">
      <c r="A285" s="208">
        <f>Données!A285</f>
        <v>5910</v>
      </c>
      <c r="B285" s="209" t="str">
        <f>Données!B285</f>
        <v>Cronay</v>
      </c>
      <c r="C285" s="387">
        <f>Ressources!H285</f>
        <v>-510281.41024057462</v>
      </c>
      <c r="D285" s="387">
        <f>Ressources!L285</f>
        <v>0</v>
      </c>
      <c r="E285" s="430">
        <f>Ressources!T285</f>
        <v>-80063.352778910601</v>
      </c>
      <c r="F285" s="388">
        <f t="shared" si="20"/>
        <v>-590344.76301948517</v>
      </c>
      <c r="G285" s="387">
        <f>'Besoins structurels'!I285</f>
        <v>-34349</v>
      </c>
      <c r="H285" s="387">
        <f>'Besoins structurels'!N285</f>
        <v>0</v>
      </c>
      <c r="I285" s="387">
        <f>'Besoins structurels'!V285</f>
        <v>-38790</v>
      </c>
      <c r="J285" s="389">
        <f t="shared" si="21"/>
        <v>-73139</v>
      </c>
      <c r="K285" s="387">
        <f>'Charges des villes'!N285</f>
        <v>195913.06002000647</v>
      </c>
      <c r="L285" s="387">
        <f>'Charges des villes'!U285</f>
        <v>42985.785089928861</v>
      </c>
      <c r="M285" s="378">
        <f t="shared" si="22"/>
        <v>238898.84510993533</v>
      </c>
      <c r="N285" s="388">
        <f>-VLOOKUP(A285,Paramètres!$B$23:$C$322,2,FALSE)*$N$5</f>
        <v>0</v>
      </c>
      <c r="O285" s="408"/>
      <c r="P285" s="639">
        <f t="shared" si="23"/>
        <v>-424584.91790954984</v>
      </c>
      <c r="Q285" s="640"/>
      <c r="R285" s="640"/>
      <c r="S285" s="641"/>
      <c r="T285" s="388">
        <f>PCS!D285</f>
        <v>418180.52919138671</v>
      </c>
      <c r="U285" s="379">
        <f>Police!U285</f>
        <v>63077.019954925418</v>
      </c>
      <c r="V285" s="431">
        <f t="shared" si="24"/>
        <v>56672.631236762289</v>
      </c>
      <c r="W285" s="229"/>
      <c r="X285" s="229"/>
      <c r="Y285" s="229"/>
      <c r="Z285" s="99"/>
    </row>
    <row r="286" spans="1:26" x14ac:dyDescent="0.25">
      <c r="A286" s="208">
        <f>Données!A286</f>
        <v>5911</v>
      </c>
      <c r="B286" s="209" t="str">
        <f>Données!B286</f>
        <v>Cuarny</v>
      </c>
      <c r="C286" s="387">
        <f>Ressources!H286</f>
        <v>-260866.93334641884</v>
      </c>
      <c r="D286" s="387">
        <f>Ressources!L286</f>
        <v>0</v>
      </c>
      <c r="E286" s="430">
        <f>Ressources!T286</f>
        <v>-23625.538164041049</v>
      </c>
      <c r="F286" s="388">
        <f t="shared" si="20"/>
        <v>-284492.4715104599</v>
      </c>
      <c r="G286" s="387">
        <f>'Besoins structurels'!I286</f>
        <v>-28896</v>
      </c>
      <c r="H286" s="387">
        <f>'Besoins structurels'!N286</f>
        <v>0</v>
      </c>
      <c r="I286" s="387">
        <f>'Besoins structurels'!V286</f>
        <v>-2433</v>
      </c>
      <c r="J286" s="389">
        <f t="shared" si="21"/>
        <v>-31329</v>
      </c>
      <c r="K286" s="387">
        <f>'Charges des villes'!N286</f>
        <v>111094.22932899189</v>
      </c>
      <c r="L286" s="387">
        <f>'Charges des villes'!U286</f>
        <v>24375.468721583191</v>
      </c>
      <c r="M286" s="378">
        <f t="shared" si="22"/>
        <v>135469.69805057507</v>
      </c>
      <c r="N286" s="388">
        <f>-VLOOKUP(A286,Paramètres!$B$23:$C$322,2,FALSE)*$N$5</f>
        <v>0</v>
      </c>
      <c r="O286" s="408"/>
      <c r="P286" s="639">
        <f t="shared" si="23"/>
        <v>-180351.77345988483</v>
      </c>
      <c r="Q286" s="640"/>
      <c r="R286" s="640"/>
      <c r="S286" s="641"/>
      <c r="T286" s="388">
        <f>PCS!D286</f>
        <v>237132.95890617461</v>
      </c>
      <c r="U286" s="379">
        <f>Police!U286</f>
        <v>35768.380727381234</v>
      </c>
      <c r="V286" s="431">
        <f t="shared" si="24"/>
        <v>92549.566173671017</v>
      </c>
      <c r="W286" s="229"/>
      <c r="X286" s="229"/>
      <c r="Y286" s="229"/>
      <c r="Z286" s="99"/>
    </row>
    <row r="287" spans="1:26" x14ac:dyDescent="0.25">
      <c r="A287" s="208">
        <f>Données!A287</f>
        <v>5912</v>
      </c>
      <c r="B287" s="209" t="str">
        <f>Données!B287</f>
        <v>Démoret</v>
      </c>
      <c r="C287" s="387">
        <f>Ressources!H287</f>
        <v>-237518.83913210963</v>
      </c>
      <c r="D287" s="387">
        <f>Ressources!L287</f>
        <v>-1925</v>
      </c>
      <c r="E287" s="430">
        <f>Ressources!T287</f>
        <v>-26008.09518346499</v>
      </c>
      <c r="F287" s="388">
        <f t="shared" si="20"/>
        <v>-265451.93431557459</v>
      </c>
      <c r="G287" s="387">
        <f>'Besoins structurels'!I287</f>
        <v>-31331</v>
      </c>
      <c r="H287" s="387">
        <f>'Besoins structurels'!N287</f>
        <v>-1337</v>
      </c>
      <c r="I287" s="387">
        <f>'Besoins structurels'!V287</f>
        <v>-27370</v>
      </c>
      <c r="J287" s="389">
        <f t="shared" si="21"/>
        <v>-60038</v>
      </c>
      <c r="K287" s="387">
        <f>'Charges des villes'!N287</f>
        <v>79287.167819861439</v>
      </c>
      <c r="L287" s="387">
        <f>'Charges des villes'!U287</f>
        <v>17396.600083453563</v>
      </c>
      <c r="M287" s="378">
        <f t="shared" si="22"/>
        <v>96683.767903315005</v>
      </c>
      <c r="N287" s="388">
        <f>-VLOOKUP(A287,Paramètres!$B$23:$C$322,2,FALSE)*$N$5</f>
        <v>0</v>
      </c>
      <c r="O287" s="408"/>
      <c r="P287" s="639">
        <f t="shared" si="23"/>
        <v>-228806.16641225957</v>
      </c>
      <c r="Q287" s="640"/>
      <c r="R287" s="640"/>
      <c r="S287" s="641"/>
      <c r="T287" s="388">
        <f>PCS!D287</f>
        <v>169240.12004922004</v>
      </c>
      <c r="U287" s="379">
        <f>Police!U287</f>
        <v>25527.641017052163</v>
      </c>
      <c r="V287" s="431">
        <f t="shared" si="24"/>
        <v>-34038.405345987361</v>
      </c>
      <c r="W287" s="229"/>
      <c r="X287" s="229"/>
      <c r="Y287" s="229"/>
      <c r="Z287" s="99"/>
    </row>
    <row r="288" spans="1:26" x14ac:dyDescent="0.25">
      <c r="A288" s="208">
        <f>Données!A288</f>
        <v>5913</v>
      </c>
      <c r="B288" s="209" t="str">
        <f>Données!B288</f>
        <v>Donneloye</v>
      </c>
      <c r="C288" s="387">
        <f>Ressources!H288</f>
        <v>-1260112.2627907202</v>
      </c>
      <c r="D288" s="387">
        <f>Ressources!L288</f>
        <v>-8712</v>
      </c>
      <c r="E288" s="430">
        <f>Ressources!T288</f>
        <v>-101881.88946649649</v>
      </c>
      <c r="F288" s="388">
        <f t="shared" si="20"/>
        <v>-1370706.1522572166</v>
      </c>
      <c r="G288" s="387">
        <f>'Besoins structurels'!I288</f>
        <v>-18793</v>
      </c>
      <c r="H288" s="387">
        <f>'Besoins structurels'!N288</f>
        <v>0</v>
      </c>
      <c r="I288" s="387">
        <f>'Besoins structurels'!V288</f>
        <v>-74431</v>
      </c>
      <c r="J288" s="389">
        <f t="shared" si="21"/>
        <v>-93224</v>
      </c>
      <c r="K288" s="387">
        <f>'Charges des villes'!N288</f>
        <v>422711.23773728451</v>
      </c>
      <c r="L288" s="387">
        <f>'Charges des villes'!U288</f>
        <v>92748.15277050533</v>
      </c>
      <c r="M288" s="378">
        <f t="shared" si="22"/>
        <v>515459.39050778985</v>
      </c>
      <c r="N288" s="388">
        <f>-VLOOKUP(A288,Paramètres!$B$23:$C$322,2,FALSE)*$N$5</f>
        <v>0</v>
      </c>
      <c r="O288" s="408"/>
      <c r="P288" s="639">
        <f t="shared" si="23"/>
        <v>-948470.76174942683</v>
      </c>
      <c r="Q288" s="640"/>
      <c r="R288" s="640"/>
      <c r="S288" s="641"/>
      <c r="T288" s="388">
        <f>PCS!D288</f>
        <v>902285.98886706273</v>
      </c>
      <c r="U288" s="379">
        <f>Police!U288</f>
        <v>136097.94658509787</v>
      </c>
      <c r="V288" s="431">
        <f t="shared" si="24"/>
        <v>89913.173702733766</v>
      </c>
      <c r="W288" s="229"/>
      <c r="X288" s="229"/>
      <c r="Y288" s="229"/>
      <c r="Z288" s="99"/>
    </row>
    <row r="289" spans="1:26" x14ac:dyDescent="0.25">
      <c r="A289" s="208">
        <f>Données!A289</f>
        <v>5914</v>
      </c>
      <c r="B289" s="209" t="str">
        <f>Données!B289</f>
        <v>Ependes</v>
      </c>
      <c r="C289" s="387">
        <f>Ressources!H289</f>
        <v>-448014.47780934029</v>
      </c>
      <c r="D289" s="387">
        <f>Ressources!L289</f>
        <v>0</v>
      </c>
      <c r="E289" s="430">
        <f>Ressources!T289</f>
        <v>-51852.243197093965</v>
      </c>
      <c r="F289" s="388">
        <f t="shared" si="20"/>
        <v>-499866.72100643424</v>
      </c>
      <c r="G289" s="387">
        <f>'Besoins structurels'!I289</f>
        <v>-18226</v>
      </c>
      <c r="H289" s="387">
        <f>'Besoins structurels'!N289</f>
        <v>0</v>
      </c>
      <c r="I289" s="387">
        <f>'Besoins structurels'!V289</f>
        <v>-28806</v>
      </c>
      <c r="J289" s="389">
        <f t="shared" si="21"/>
        <v>-47032</v>
      </c>
      <c r="K289" s="387">
        <f>'Charges des villes'!N289</f>
        <v>175630.29615911169</v>
      </c>
      <c r="L289" s="387">
        <f>'Charges des villes'!U289</f>
        <v>38535.492045324463</v>
      </c>
      <c r="M289" s="378">
        <f t="shared" si="22"/>
        <v>214165.78820443616</v>
      </c>
      <c r="N289" s="388">
        <f>-VLOOKUP(A289,Paramètres!$B$23:$C$322,2,FALSE)*$N$5</f>
        <v>0</v>
      </c>
      <c r="O289" s="408"/>
      <c r="P289" s="639">
        <f t="shared" si="23"/>
        <v>-332732.93280199799</v>
      </c>
      <c r="Q289" s="640"/>
      <c r="R289" s="640"/>
      <c r="S289" s="641"/>
      <c r="T289" s="388">
        <f>PCS!D289</f>
        <v>374886.54499274906</v>
      </c>
      <c r="U289" s="379">
        <f>Police!U289</f>
        <v>11746.939500075372</v>
      </c>
      <c r="V289" s="431">
        <f t="shared" si="24"/>
        <v>53900.55169082644</v>
      </c>
      <c r="W289" s="229"/>
      <c r="X289" s="229"/>
      <c r="Y289" s="229"/>
      <c r="Z289" s="99"/>
    </row>
    <row r="290" spans="1:26" x14ac:dyDescent="0.25">
      <c r="A290" s="208">
        <f>Données!A290</f>
        <v>5919</v>
      </c>
      <c r="B290" s="209" t="str">
        <f>Données!B290</f>
        <v>Mathod</v>
      </c>
      <c r="C290" s="387">
        <f>Ressources!H290</f>
        <v>-774741.18721465149</v>
      </c>
      <c r="D290" s="387">
        <f>Ressources!L290</f>
        <v>0</v>
      </c>
      <c r="E290" s="430">
        <f>Ressources!T290</f>
        <v>-58738.933564023944</v>
      </c>
      <c r="F290" s="388">
        <f t="shared" si="20"/>
        <v>-833480.12077867542</v>
      </c>
      <c r="G290" s="387">
        <f>'Besoins structurels'!I290</f>
        <v>-8688</v>
      </c>
      <c r="H290" s="387">
        <f>'Besoins structurels'!N290</f>
        <v>0</v>
      </c>
      <c r="I290" s="387">
        <f>'Besoins structurels'!V290</f>
        <v>0</v>
      </c>
      <c r="J290" s="389">
        <f t="shared" si="21"/>
        <v>-8688</v>
      </c>
      <c r="K290" s="387">
        <f>'Charges des villes'!N290</f>
        <v>334204.63179883454</v>
      </c>
      <c r="L290" s="387">
        <f>'Charges des villes'!U290</f>
        <v>73328.692212231588</v>
      </c>
      <c r="M290" s="378">
        <f t="shared" si="22"/>
        <v>407533.32401106611</v>
      </c>
      <c r="N290" s="388">
        <f>-VLOOKUP(A290,Paramètres!$B$23:$C$322,2,FALSE)*$N$5</f>
        <v>0</v>
      </c>
      <c r="O290" s="408"/>
      <c r="P290" s="639">
        <f t="shared" si="23"/>
        <v>-434634.79676760931</v>
      </c>
      <c r="Q290" s="640"/>
      <c r="R290" s="640"/>
      <c r="S290" s="641"/>
      <c r="T290" s="388">
        <f>PCS!D290</f>
        <v>713366.78509118909</v>
      </c>
      <c r="U290" s="379">
        <f>Police!U290</f>
        <v>22353.100098568622</v>
      </c>
      <c r="V290" s="431">
        <f t="shared" si="24"/>
        <v>301085.08842214837</v>
      </c>
      <c r="W290" s="229"/>
      <c r="X290" s="229"/>
      <c r="Y290" s="229"/>
      <c r="Z290" s="99"/>
    </row>
    <row r="291" spans="1:26" x14ac:dyDescent="0.25">
      <c r="A291" s="208">
        <f>Données!A291</f>
        <v>5921</v>
      </c>
      <c r="B291" s="209" t="str">
        <f>Données!B291</f>
        <v>Molondin</v>
      </c>
      <c r="C291" s="387">
        <f>Ressources!H291</f>
        <v>-338072.71563020529</v>
      </c>
      <c r="D291" s="387">
        <f>Ressources!L291</f>
        <v>0</v>
      </c>
      <c r="E291" s="430">
        <f>Ressources!T291</f>
        <v>-17355.885170651651</v>
      </c>
      <c r="F291" s="388">
        <f t="shared" si="20"/>
        <v>-355428.60080085695</v>
      </c>
      <c r="G291" s="387">
        <f>'Besoins structurels'!I291</f>
        <v>-36353</v>
      </c>
      <c r="H291" s="387">
        <f>'Besoins structurels'!N291</f>
        <v>0</v>
      </c>
      <c r="I291" s="387">
        <f>'Besoins structurels'!V291</f>
        <v>-54238</v>
      </c>
      <c r="J291" s="389">
        <f t="shared" si="21"/>
        <v>-90591</v>
      </c>
      <c r="K291" s="387">
        <f>'Charges des villes'!N291</f>
        <v>124001.44269501587</v>
      </c>
      <c r="L291" s="387">
        <f>'Charges des villes'!U291</f>
        <v>27207.473386331443</v>
      </c>
      <c r="M291" s="378">
        <f t="shared" si="22"/>
        <v>151208.9160813473</v>
      </c>
      <c r="N291" s="388">
        <f>-VLOOKUP(A291,Paramètres!$B$23:$C$322,2,FALSE)*$N$5</f>
        <v>0</v>
      </c>
      <c r="O291" s="408"/>
      <c r="P291" s="639">
        <f t="shared" si="23"/>
        <v>-294810.68471950968</v>
      </c>
      <c r="Q291" s="640"/>
      <c r="R291" s="640"/>
      <c r="S291" s="641"/>
      <c r="T291" s="388">
        <f>PCS!D291</f>
        <v>264683.67612348951</v>
      </c>
      <c r="U291" s="379">
        <f>Police!U291</f>
        <v>39924.043218529259</v>
      </c>
      <c r="V291" s="431">
        <f t="shared" si="24"/>
        <v>9797.0346225090907</v>
      </c>
      <c r="W291" s="229"/>
      <c r="X291" s="229"/>
      <c r="Y291" s="229"/>
      <c r="Z291" s="99"/>
    </row>
    <row r="292" spans="1:26" x14ac:dyDescent="0.25">
      <c r="A292" s="208">
        <f>Données!A292</f>
        <v>5922</v>
      </c>
      <c r="B292" s="209" t="str">
        <f>Données!B292</f>
        <v>Montagny-près-Yverdon</v>
      </c>
      <c r="C292" s="387">
        <f>Ressources!H292</f>
        <v>90299.941245859183</v>
      </c>
      <c r="D292" s="387">
        <f>Ressources!L292</f>
        <v>0</v>
      </c>
      <c r="E292" s="430">
        <f>Ressources!T292</f>
        <v>136385.62335085409</v>
      </c>
      <c r="F292" s="388">
        <f t="shared" si="20"/>
        <v>226685.56459671329</v>
      </c>
      <c r="G292" s="387">
        <f>'Besoins structurels'!I292</f>
        <v>0</v>
      </c>
      <c r="H292" s="387">
        <f>'Besoins structurels'!N292</f>
        <v>0</v>
      </c>
      <c r="I292" s="387">
        <f>'Besoins structurels'!V292</f>
        <v>0</v>
      </c>
      <c r="J292" s="389">
        <f t="shared" si="21"/>
        <v>0</v>
      </c>
      <c r="K292" s="387">
        <f>'Charges des villes'!N292</f>
        <v>360941.0023427413</v>
      </c>
      <c r="L292" s="387">
        <f>'Charges des villes'!U292</f>
        <v>-74066.012410789888</v>
      </c>
      <c r="M292" s="378">
        <f t="shared" si="22"/>
        <v>286874.98993195139</v>
      </c>
      <c r="N292" s="388">
        <f>-VLOOKUP(A292,Paramètres!$B$23:$C$322,2,FALSE)*$N$5</f>
        <v>0</v>
      </c>
      <c r="O292" s="408"/>
      <c r="P292" s="639">
        <f t="shared" si="23"/>
        <v>513560.55452866468</v>
      </c>
      <c r="Q292" s="640"/>
      <c r="R292" s="640"/>
      <c r="S292" s="641"/>
      <c r="T292" s="388">
        <f>PCS!D292</f>
        <v>770436.12789848424</v>
      </c>
      <c r="U292" s="379">
        <f>Police!U292</f>
        <v>116210.13323460377</v>
      </c>
      <c r="V292" s="431">
        <f t="shared" si="24"/>
        <v>1400206.8156617526</v>
      </c>
      <c r="W292" s="229"/>
      <c r="X292" s="229"/>
      <c r="Y292" s="229"/>
      <c r="Z292" s="99"/>
    </row>
    <row r="293" spans="1:26" x14ac:dyDescent="0.25">
      <c r="A293" s="208">
        <f>Données!A293</f>
        <v>5923</v>
      </c>
      <c r="B293" s="209" t="str">
        <f>Données!B293</f>
        <v>Oppens</v>
      </c>
      <c r="C293" s="387">
        <f>Ressources!H293</f>
        <v>-227927.61909070154</v>
      </c>
      <c r="D293" s="387">
        <f>Ressources!L293</f>
        <v>0</v>
      </c>
      <c r="E293" s="430">
        <f>Ressources!T293</f>
        <v>-32468.576261976334</v>
      </c>
      <c r="F293" s="388">
        <f t="shared" si="20"/>
        <v>-260396.19535267787</v>
      </c>
      <c r="G293" s="387">
        <f>'Besoins structurels'!I293</f>
        <v>-21289</v>
      </c>
      <c r="H293" s="387">
        <f>'Besoins structurels'!N293</f>
        <v>0</v>
      </c>
      <c r="I293" s="387">
        <f>'Besoins structurels'!V293</f>
        <v>-14004</v>
      </c>
      <c r="J293" s="389">
        <f t="shared" si="21"/>
        <v>-35293</v>
      </c>
      <c r="K293" s="387">
        <f>'Charges des villes'!N293</f>
        <v>93116.324997744247</v>
      </c>
      <c r="L293" s="387">
        <f>'Charges des villes'!U293</f>
        <v>20430.890795683837</v>
      </c>
      <c r="M293" s="378">
        <f t="shared" si="22"/>
        <v>113547.21579342808</v>
      </c>
      <c r="N293" s="388">
        <f>-VLOOKUP(A293,Paramètres!$B$23:$C$322,2,FALSE)*$N$5</f>
        <v>-14600</v>
      </c>
      <c r="O293" s="408"/>
      <c r="P293" s="639">
        <f t="shared" si="23"/>
        <v>-196741.97955924977</v>
      </c>
      <c r="Q293" s="640"/>
      <c r="R293" s="640"/>
      <c r="S293" s="641"/>
      <c r="T293" s="388">
        <f>PCS!D293</f>
        <v>198758.74563920029</v>
      </c>
      <c r="U293" s="379">
        <f>Police!U293</f>
        <v>29980.136543282199</v>
      </c>
      <c r="V293" s="431">
        <f t="shared" si="24"/>
        <v>31996.902623232723</v>
      </c>
      <c r="W293" s="229"/>
      <c r="X293" s="229"/>
      <c r="Y293" s="229"/>
      <c r="Z293" s="99"/>
    </row>
    <row r="294" spans="1:26" x14ac:dyDescent="0.25">
      <c r="A294" s="208">
        <f>Données!A294</f>
        <v>5924</v>
      </c>
      <c r="B294" s="209" t="str">
        <f>Données!B294</f>
        <v>Orges</v>
      </c>
      <c r="C294" s="387">
        <f>Ressources!H294</f>
        <v>-411247.3480471053</v>
      </c>
      <c r="D294" s="387">
        <f>Ressources!L294</f>
        <v>0</v>
      </c>
      <c r="E294" s="430">
        <f>Ressources!T294</f>
        <v>-31502.363242960222</v>
      </c>
      <c r="F294" s="388">
        <f t="shared" si="20"/>
        <v>-442749.71129006555</v>
      </c>
      <c r="G294" s="387">
        <f>'Besoins structurels'!I294</f>
        <v>-7849</v>
      </c>
      <c r="H294" s="387">
        <f>'Besoins structurels'!N294</f>
        <v>0</v>
      </c>
      <c r="I294" s="387">
        <f>'Besoins structurels'!V294</f>
        <v>0</v>
      </c>
      <c r="J294" s="389">
        <f t="shared" si="21"/>
        <v>-7849</v>
      </c>
      <c r="K294" s="387">
        <f>'Charges des villes'!N294</f>
        <v>195452.08811407705</v>
      </c>
      <c r="L294" s="387">
        <f>'Charges des villes'!U294</f>
        <v>42884.642066187851</v>
      </c>
      <c r="M294" s="378">
        <f t="shared" si="22"/>
        <v>238336.73018026492</v>
      </c>
      <c r="N294" s="388">
        <f>-VLOOKUP(A294,Paramètres!$B$23:$C$322,2,FALSE)*$N$5</f>
        <v>0</v>
      </c>
      <c r="O294" s="408"/>
      <c r="P294" s="639">
        <f t="shared" si="23"/>
        <v>-212261.98110980063</v>
      </c>
      <c r="Q294" s="640"/>
      <c r="R294" s="640"/>
      <c r="S294" s="641"/>
      <c r="T294" s="388">
        <f>PCS!D294</f>
        <v>417196.57500505407</v>
      </c>
      <c r="U294" s="379">
        <f>Police!U294</f>
        <v>62928.603437384416</v>
      </c>
      <c r="V294" s="431">
        <f t="shared" si="24"/>
        <v>267863.19733263785</v>
      </c>
      <c r="W294" s="229"/>
      <c r="X294" s="229"/>
      <c r="Y294" s="229"/>
      <c r="Z294" s="99"/>
    </row>
    <row r="295" spans="1:26" x14ac:dyDescent="0.25">
      <c r="A295" s="208">
        <f>Données!A295</f>
        <v>5925</v>
      </c>
      <c r="B295" s="209" t="str">
        <f>Données!B295</f>
        <v>Orzens</v>
      </c>
      <c r="C295" s="387">
        <f>Ressources!H295</f>
        <v>-299982.5871201806</v>
      </c>
      <c r="D295" s="387">
        <f>Ressources!L295</f>
        <v>-2843</v>
      </c>
      <c r="E295" s="430">
        <f>Ressources!T295</f>
        <v>-24969.85476528162</v>
      </c>
      <c r="F295" s="388">
        <f t="shared" si="20"/>
        <v>-327795.44188546221</v>
      </c>
      <c r="G295" s="387">
        <f>'Besoins structurels'!I295</f>
        <v>-26719</v>
      </c>
      <c r="H295" s="387">
        <f>'Besoins structurels'!N295</f>
        <v>0</v>
      </c>
      <c r="I295" s="387">
        <f>'Besoins structurels'!V295</f>
        <v>0</v>
      </c>
      <c r="J295" s="389">
        <f t="shared" si="21"/>
        <v>-26719</v>
      </c>
      <c r="K295" s="387">
        <f>'Charges des villes'!N295</f>
        <v>99569.931680756243</v>
      </c>
      <c r="L295" s="387">
        <f>'Charges des villes'!U295</f>
        <v>21846.893128057964</v>
      </c>
      <c r="M295" s="378">
        <f t="shared" si="22"/>
        <v>121416.82480881421</v>
      </c>
      <c r="N295" s="388">
        <f>-VLOOKUP(A295,Paramètres!$B$23:$C$322,2,FALSE)*$N$5</f>
        <v>0</v>
      </c>
      <c r="O295" s="408"/>
      <c r="P295" s="639">
        <f t="shared" si="23"/>
        <v>-233097.61707664799</v>
      </c>
      <c r="Q295" s="640"/>
      <c r="R295" s="640"/>
      <c r="S295" s="641"/>
      <c r="T295" s="388">
        <f>PCS!D295</f>
        <v>212534.10424785773</v>
      </c>
      <c r="U295" s="379">
        <f>Police!U295</f>
        <v>32057.967788856207</v>
      </c>
      <c r="V295" s="431">
        <f t="shared" si="24"/>
        <v>11494.454960065945</v>
      </c>
      <c r="W295" s="229"/>
      <c r="X295" s="229"/>
      <c r="Y295" s="229"/>
      <c r="Z295" s="99"/>
    </row>
    <row r="296" spans="1:26" x14ac:dyDescent="0.25">
      <c r="A296" s="208">
        <f>Données!A296</f>
        <v>5926</v>
      </c>
      <c r="B296" s="209" t="str">
        <f>Données!B296</f>
        <v>Pomy</v>
      </c>
      <c r="C296" s="387">
        <f>Ressources!H296</f>
        <v>-897647.9357522066</v>
      </c>
      <c r="D296" s="387">
        <f>Ressources!L296</f>
        <v>0</v>
      </c>
      <c r="E296" s="430">
        <f>Ressources!T296</f>
        <v>-30239.803028481401</v>
      </c>
      <c r="F296" s="388">
        <f t="shared" si="20"/>
        <v>-927887.73878068803</v>
      </c>
      <c r="G296" s="387">
        <f>'Besoins structurels'!I296</f>
        <v>0</v>
      </c>
      <c r="H296" s="387">
        <f>'Besoins structurels'!N296</f>
        <v>0</v>
      </c>
      <c r="I296" s="387">
        <f>'Besoins structurels'!V296</f>
        <v>-99555</v>
      </c>
      <c r="J296" s="389">
        <f t="shared" si="21"/>
        <v>-99555</v>
      </c>
      <c r="K296" s="387">
        <f>'Charges des villes'!N296</f>
        <v>404272.36150010745</v>
      </c>
      <c r="L296" s="387">
        <f>'Charges des villes'!U296</f>
        <v>88702.431820864964</v>
      </c>
      <c r="M296" s="378">
        <f t="shared" si="22"/>
        <v>492974.79332097241</v>
      </c>
      <c r="N296" s="388">
        <f>-VLOOKUP(A296,Paramètres!$B$23:$C$322,2,FALSE)*$N$5</f>
        <v>0</v>
      </c>
      <c r="O296" s="408"/>
      <c r="P296" s="639">
        <f t="shared" si="23"/>
        <v>-534467.94545971556</v>
      </c>
      <c r="Q296" s="640"/>
      <c r="R296" s="640"/>
      <c r="S296" s="641"/>
      <c r="T296" s="388">
        <f>PCS!D296</f>
        <v>862927.82141375565</v>
      </c>
      <c r="U296" s="379">
        <f>Police!U296</f>
        <v>27039.543153716804</v>
      </c>
      <c r="V296" s="431">
        <f t="shared" si="24"/>
        <v>355499.41910775693</v>
      </c>
      <c r="W296" s="229"/>
      <c r="X296" s="229"/>
      <c r="Y296" s="229"/>
      <c r="Z296" s="99"/>
    </row>
    <row r="297" spans="1:26" x14ac:dyDescent="0.25">
      <c r="A297" s="208">
        <f>Données!A297</f>
        <v>5928</v>
      </c>
      <c r="B297" s="209" t="str">
        <f>Données!B297</f>
        <v>Rovray</v>
      </c>
      <c r="C297" s="387">
        <f>Ressources!H297</f>
        <v>-195309.53690016962</v>
      </c>
      <c r="D297" s="387">
        <f>Ressources!L297</f>
        <v>0</v>
      </c>
      <c r="E297" s="430">
        <f>Ressources!T297</f>
        <v>-24161.894510323684</v>
      </c>
      <c r="F297" s="388">
        <f t="shared" si="20"/>
        <v>-219471.4314104933</v>
      </c>
      <c r="G297" s="387">
        <f>'Besoins structurels'!I297</f>
        <v>-18043</v>
      </c>
      <c r="H297" s="387">
        <f>'Besoins structurels'!N297</f>
        <v>0</v>
      </c>
      <c r="I297" s="387">
        <f>'Besoins structurels'!V297</f>
        <v>-58046</v>
      </c>
      <c r="J297" s="389">
        <f t="shared" si="21"/>
        <v>-76089</v>
      </c>
      <c r="K297" s="387">
        <f>'Charges des villes'!N297</f>
        <v>89889.521656238256</v>
      </c>
      <c r="L297" s="387">
        <f>'Charges des villes'!U297</f>
        <v>19722.889629496771</v>
      </c>
      <c r="M297" s="378">
        <f t="shared" si="22"/>
        <v>109612.41128573503</v>
      </c>
      <c r="N297" s="388">
        <f>-VLOOKUP(A297,Paramètres!$B$23:$C$322,2,FALSE)*$N$5</f>
        <v>0</v>
      </c>
      <c r="O297" s="408"/>
      <c r="P297" s="639">
        <f t="shared" si="23"/>
        <v>-185948.0201247583</v>
      </c>
      <c r="Q297" s="640"/>
      <c r="R297" s="640"/>
      <c r="S297" s="641"/>
      <c r="T297" s="388">
        <f>PCS!D297</f>
        <v>191871.06633487158</v>
      </c>
      <c r="U297" s="379">
        <f>Police!U297</f>
        <v>28941.220920495187</v>
      </c>
      <c r="V297" s="431">
        <f t="shared" si="24"/>
        <v>34864.267130608459</v>
      </c>
      <c r="W297" s="229"/>
      <c r="X297" s="229"/>
      <c r="Y297" s="229"/>
      <c r="Z297" s="99"/>
    </row>
    <row r="298" spans="1:26" x14ac:dyDescent="0.25">
      <c r="A298" s="208">
        <f>Données!A298</f>
        <v>5929</v>
      </c>
      <c r="B298" s="209" t="str">
        <f>Données!B298</f>
        <v>Suchy</v>
      </c>
      <c r="C298" s="387">
        <f>Ressources!H298</f>
        <v>-546962.89538744208</v>
      </c>
      <c r="D298" s="387">
        <f>Ressources!L298</f>
        <v>0</v>
      </c>
      <c r="E298" s="430">
        <f>Ressources!T298</f>
        <v>-53002.49408675317</v>
      </c>
      <c r="F298" s="388">
        <f t="shared" si="20"/>
        <v>-599965.3894741952</v>
      </c>
      <c r="G298" s="387">
        <f>'Besoins structurels'!I298</f>
        <v>-15064</v>
      </c>
      <c r="H298" s="387">
        <f>'Besoins structurels'!N298</f>
        <v>0</v>
      </c>
      <c r="I298" s="387">
        <f>'Besoins structurels'!V298</f>
        <v>-115035</v>
      </c>
      <c r="J298" s="389">
        <f t="shared" si="21"/>
        <v>-130099</v>
      </c>
      <c r="K298" s="387">
        <f>'Charges des villes'!N298</f>
        <v>308851.17697271606</v>
      </c>
      <c r="L298" s="387">
        <f>'Charges des villes'!U298</f>
        <v>67765.825906476093</v>
      </c>
      <c r="M298" s="378">
        <f t="shared" si="22"/>
        <v>376617.00287919212</v>
      </c>
      <c r="N298" s="388">
        <f>-VLOOKUP(A298,Paramètres!$B$23:$C$322,2,FALSE)*$N$5</f>
        <v>0</v>
      </c>
      <c r="O298" s="408"/>
      <c r="P298" s="639">
        <f t="shared" si="23"/>
        <v>-353447.38659500307</v>
      </c>
      <c r="Q298" s="640"/>
      <c r="R298" s="640"/>
      <c r="S298" s="641"/>
      <c r="T298" s="388">
        <f>PCS!D298</f>
        <v>659249.30484289199</v>
      </c>
      <c r="U298" s="379">
        <f>Police!U298</f>
        <v>20657.347677297901</v>
      </c>
      <c r="V298" s="431">
        <f t="shared" si="24"/>
        <v>326459.2659251868</v>
      </c>
      <c r="W298" s="229"/>
      <c r="X298" s="229"/>
      <c r="Y298" s="229"/>
      <c r="Z298" s="99"/>
    </row>
    <row r="299" spans="1:26" x14ac:dyDescent="0.25">
      <c r="A299" s="208">
        <f>Données!A299</f>
        <v>5930</v>
      </c>
      <c r="B299" s="209" t="str">
        <f>Données!B299</f>
        <v>Suscévaz</v>
      </c>
      <c r="C299" s="387">
        <f>Ressources!H299</f>
        <v>-355166.85830325633</v>
      </c>
      <c r="D299" s="387">
        <f>Ressources!L299</f>
        <v>-9624</v>
      </c>
      <c r="E299" s="430">
        <f>Ressources!T299</f>
        <v>-31766.940020239555</v>
      </c>
      <c r="F299" s="388">
        <f t="shared" si="20"/>
        <v>-396557.7983234959</v>
      </c>
      <c r="G299" s="387">
        <f>'Besoins structurels'!I299</f>
        <v>-22636</v>
      </c>
      <c r="H299" s="387">
        <f>'Besoins structurels'!N299</f>
        <v>0</v>
      </c>
      <c r="I299" s="387">
        <f>'Besoins structurels'!V299</f>
        <v>-18364</v>
      </c>
      <c r="J299" s="389">
        <f t="shared" si="21"/>
        <v>-41000</v>
      </c>
      <c r="K299" s="387">
        <f>'Charges des villes'!N299</f>
        <v>109250.34170527419</v>
      </c>
      <c r="L299" s="387">
        <f>'Charges des villes'!U299</f>
        <v>23970.896626619153</v>
      </c>
      <c r="M299" s="378">
        <f t="shared" si="22"/>
        <v>133221.23833189334</v>
      </c>
      <c r="N299" s="388">
        <f>-VLOOKUP(A299,Paramètres!$B$23:$C$322,2,FALSE)*$N$5</f>
        <v>0</v>
      </c>
      <c r="O299" s="408"/>
      <c r="P299" s="639">
        <f t="shared" si="23"/>
        <v>-304336.55999160255</v>
      </c>
      <c r="Q299" s="640"/>
      <c r="R299" s="640"/>
      <c r="S299" s="641"/>
      <c r="T299" s="388">
        <f>PCS!D299</f>
        <v>233197.14216084391</v>
      </c>
      <c r="U299" s="379">
        <f>Police!U299</f>
        <v>7307.1513425665707</v>
      </c>
      <c r="V299" s="431">
        <f t="shared" si="24"/>
        <v>-63832.266488192072</v>
      </c>
      <c r="W299" s="229"/>
      <c r="X299" s="229"/>
      <c r="Y299" s="229"/>
      <c r="Z299" s="99"/>
    </row>
    <row r="300" spans="1:26" x14ac:dyDescent="0.25">
      <c r="A300" s="208">
        <f>Données!A300</f>
        <v>5931</v>
      </c>
      <c r="B300" s="209" t="str">
        <f>Données!B300</f>
        <v>Treycovagnes</v>
      </c>
      <c r="C300" s="387">
        <f>Ressources!H300</f>
        <v>-473592.28560322989</v>
      </c>
      <c r="D300" s="387">
        <f>Ressources!L300</f>
        <v>0</v>
      </c>
      <c r="E300" s="430">
        <f>Ressources!T300</f>
        <v>-73410.476942543843</v>
      </c>
      <c r="F300" s="388">
        <f t="shared" si="20"/>
        <v>-547002.76254577376</v>
      </c>
      <c r="G300" s="387">
        <f>'Besoins structurels'!I300</f>
        <v>0</v>
      </c>
      <c r="H300" s="387">
        <f>'Besoins structurels'!N300</f>
        <v>0</v>
      </c>
      <c r="I300" s="387">
        <f>'Besoins structurels'!V300</f>
        <v>0</v>
      </c>
      <c r="J300" s="389">
        <f t="shared" si="21"/>
        <v>0</v>
      </c>
      <c r="K300" s="387">
        <f>'Charges des villes'!N300</f>
        <v>236478.58774179604</v>
      </c>
      <c r="L300" s="387">
        <f>'Charges des villes'!U300</f>
        <v>51886.371179137663</v>
      </c>
      <c r="M300" s="378">
        <f t="shared" si="22"/>
        <v>288364.95892093371</v>
      </c>
      <c r="N300" s="388">
        <f>-VLOOKUP(A300,Paramètres!$B$23:$C$322,2,FALSE)*$N$5</f>
        <v>0</v>
      </c>
      <c r="O300" s="408"/>
      <c r="P300" s="639">
        <f t="shared" si="23"/>
        <v>-258637.80362484005</v>
      </c>
      <c r="Q300" s="640"/>
      <c r="R300" s="640"/>
      <c r="S300" s="641"/>
      <c r="T300" s="388">
        <f>PCS!D300</f>
        <v>504768.49758866214</v>
      </c>
      <c r="U300" s="379">
        <f>Police!U300</f>
        <v>15816.745311125109</v>
      </c>
      <c r="V300" s="431">
        <f t="shared" si="24"/>
        <v>261947.43927494722</v>
      </c>
      <c r="W300" s="229"/>
      <c r="X300" s="229"/>
      <c r="Y300" s="229"/>
      <c r="Z300" s="99"/>
    </row>
    <row r="301" spans="1:26" x14ac:dyDescent="0.25">
      <c r="A301" s="208">
        <f>Données!A301</f>
        <v>5932</v>
      </c>
      <c r="B301" s="209" t="str">
        <f>Données!B301</f>
        <v>Ursins</v>
      </c>
      <c r="C301" s="387">
        <f>Ressources!H301</f>
        <v>-117638.4758843375</v>
      </c>
      <c r="D301" s="387">
        <f>Ressources!L301</f>
        <v>0</v>
      </c>
      <c r="E301" s="430">
        <f>Ressources!T301</f>
        <v>-47042.59187643804</v>
      </c>
      <c r="F301" s="388">
        <f t="shared" si="20"/>
        <v>-164681.06776077554</v>
      </c>
      <c r="G301" s="387">
        <f>'Besoins structurels'!I301</f>
        <v>-16695</v>
      </c>
      <c r="H301" s="387">
        <f>'Besoins structurels'!N301</f>
        <v>0</v>
      </c>
      <c r="I301" s="387">
        <f>'Besoins structurels'!V301</f>
        <v>0</v>
      </c>
      <c r="J301" s="389">
        <f t="shared" si="21"/>
        <v>-16695</v>
      </c>
      <c r="K301" s="387">
        <f>'Charges des villes'!N301</f>
        <v>107406.45408155647</v>
      </c>
      <c r="L301" s="387">
        <f>'Charges des villes'!U301</f>
        <v>23566.324531655118</v>
      </c>
      <c r="M301" s="378">
        <f t="shared" si="22"/>
        <v>130972.77861321159</v>
      </c>
      <c r="N301" s="388">
        <f>-VLOOKUP(A301,Paramètres!$B$23:$C$322,2,FALSE)*$N$5</f>
        <v>0</v>
      </c>
      <c r="O301" s="408"/>
      <c r="P301" s="639">
        <f t="shared" si="23"/>
        <v>-50403.289147563948</v>
      </c>
      <c r="Q301" s="640"/>
      <c r="R301" s="640"/>
      <c r="S301" s="641"/>
      <c r="T301" s="388">
        <f>PCS!D301</f>
        <v>229261.32541551319</v>
      </c>
      <c r="U301" s="379">
        <f>Police!U301</f>
        <v>34581.048587053228</v>
      </c>
      <c r="V301" s="431">
        <f t="shared" si="24"/>
        <v>213439.08485500247</v>
      </c>
      <c r="W301" s="229"/>
      <c r="X301" s="229"/>
      <c r="Y301" s="229"/>
      <c r="Z301" s="99"/>
    </row>
    <row r="302" spans="1:26" x14ac:dyDescent="0.25">
      <c r="A302" s="208">
        <f>Données!A302</f>
        <v>5933</v>
      </c>
      <c r="B302" s="209" t="str">
        <f>Données!B302</f>
        <v>Valeyres-sous-Montagny</v>
      </c>
      <c r="C302" s="387">
        <f>Ressources!H302</f>
        <v>-624394.07028612518</v>
      </c>
      <c r="D302" s="387">
        <f>Ressources!L302</f>
        <v>0</v>
      </c>
      <c r="E302" s="430">
        <f>Ressources!T302</f>
        <v>-98371.012380966771</v>
      </c>
      <c r="F302" s="388">
        <f t="shared" si="20"/>
        <v>-722765.08266709198</v>
      </c>
      <c r="G302" s="387">
        <f>'Besoins structurels'!I302</f>
        <v>0</v>
      </c>
      <c r="H302" s="387">
        <f>'Besoins structurels'!N302</f>
        <v>0</v>
      </c>
      <c r="I302" s="387">
        <f>'Besoins structurels'!V302</f>
        <v>0</v>
      </c>
      <c r="J302" s="389">
        <f t="shared" si="21"/>
        <v>0</v>
      </c>
      <c r="K302" s="387">
        <f>'Charges des villes'!N302</f>
        <v>325446.16558617546</v>
      </c>
      <c r="L302" s="387">
        <f>'Charges des villes'!U302</f>
        <v>71406.974761152422</v>
      </c>
      <c r="M302" s="378">
        <f t="shared" si="22"/>
        <v>396853.14034732786</v>
      </c>
      <c r="N302" s="388">
        <f>-VLOOKUP(A302,Paramètres!$B$23:$C$322,2,FALSE)*$N$5</f>
        <v>-102900</v>
      </c>
      <c r="O302" s="408"/>
      <c r="P302" s="639">
        <f t="shared" si="23"/>
        <v>-428811.94231976412</v>
      </c>
      <c r="Q302" s="640"/>
      <c r="R302" s="640"/>
      <c r="S302" s="641"/>
      <c r="T302" s="388">
        <f>PCS!D302</f>
        <v>694671.65555086837</v>
      </c>
      <c r="U302" s="379">
        <f>Police!U302</f>
        <v>104782.06138394668</v>
      </c>
      <c r="V302" s="431">
        <f t="shared" si="24"/>
        <v>370641.77461505093</v>
      </c>
      <c r="W302" s="229"/>
      <c r="X302" s="229"/>
      <c r="Y302" s="229"/>
      <c r="Z302" s="99"/>
    </row>
    <row r="303" spans="1:26" x14ac:dyDescent="0.25">
      <c r="A303" s="208">
        <f>Données!A303</f>
        <v>5934</v>
      </c>
      <c r="B303" s="209" t="str">
        <f>Données!B303</f>
        <v>Valeyres-sous-Ursins</v>
      </c>
      <c r="C303" s="387">
        <f>Ressources!H303</f>
        <v>-164752.84368900227</v>
      </c>
      <c r="D303" s="387">
        <f>Ressources!L303</f>
        <v>0</v>
      </c>
      <c r="E303" s="430">
        <f>Ressources!T303</f>
        <v>1114.4895157108331</v>
      </c>
      <c r="F303" s="388">
        <f t="shared" si="20"/>
        <v>-163638.35417329145</v>
      </c>
      <c r="G303" s="387">
        <f>'Besoins structurels'!I303</f>
        <v>-10810</v>
      </c>
      <c r="H303" s="387">
        <f>'Besoins structurels'!N303</f>
        <v>0</v>
      </c>
      <c r="I303" s="387">
        <f>'Besoins structurels'!V303</f>
        <v>0</v>
      </c>
      <c r="J303" s="389">
        <f t="shared" si="21"/>
        <v>-10810</v>
      </c>
      <c r="K303" s="387">
        <f>'Charges des villes'!N303</f>
        <v>108789.36979934476</v>
      </c>
      <c r="L303" s="387">
        <f>'Charges des villes'!U303</f>
        <v>23869.753602878143</v>
      </c>
      <c r="M303" s="378">
        <f t="shared" si="22"/>
        <v>132659.1234022229</v>
      </c>
      <c r="N303" s="388">
        <f>-VLOOKUP(A303,Paramètres!$B$23:$C$322,2,FALSE)*$N$5</f>
        <v>0</v>
      </c>
      <c r="O303" s="408"/>
      <c r="P303" s="639">
        <f t="shared" si="23"/>
        <v>-41789.230771068542</v>
      </c>
      <c r="Q303" s="640"/>
      <c r="R303" s="640"/>
      <c r="S303" s="641"/>
      <c r="T303" s="388">
        <f>PCS!D303</f>
        <v>232213.18797451124</v>
      </c>
      <c r="U303" s="379">
        <f>Police!U303</f>
        <v>35026.298139676233</v>
      </c>
      <c r="V303" s="431">
        <f t="shared" si="24"/>
        <v>225450.25534311892</v>
      </c>
      <c r="W303" s="229"/>
      <c r="X303" s="229"/>
      <c r="Y303" s="229"/>
      <c r="Z303" s="99"/>
    </row>
    <row r="304" spans="1:26" x14ac:dyDescent="0.25">
      <c r="A304" s="208">
        <f>Données!A304</f>
        <v>5935</v>
      </c>
      <c r="B304" s="209" t="str">
        <f>Données!B304</f>
        <v>Villars-Epeney</v>
      </c>
      <c r="C304" s="387">
        <f>Ressources!H304</f>
        <v>-8918.364920765267</v>
      </c>
      <c r="D304" s="387">
        <f>Ressources!L304</f>
        <v>0</v>
      </c>
      <c r="E304" s="430">
        <f>Ressources!T304</f>
        <v>4226.5001173591918</v>
      </c>
      <c r="F304" s="388">
        <f t="shared" si="20"/>
        <v>-4691.8648034060752</v>
      </c>
      <c r="G304" s="387">
        <f>'Besoins structurels'!I304</f>
        <v>-387</v>
      </c>
      <c r="H304" s="387">
        <f>'Besoins structurels'!N304</f>
        <v>0</v>
      </c>
      <c r="I304" s="387">
        <f>'Besoins structurels'!V304</f>
        <v>-5811</v>
      </c>
      <c r="J304" s="389">
        <f t="shared" si="21"/>
        <v>-6198</v>
      </c>
      <c r="K304" s="387">
        <f>'Charges des villes'!N304</f>
        <v>49784.965840378121</v>
      </c>
      <c r="L304" s="387">
        <f>'Charges des villes'!U304</f>
        <v>10923.446564028982</v>
      </c>
      <c r="M304" s="378">
        <f t="shared" si="22"/>
        <v>60708.412404407107</v>
      </c>
      <c r="N304" s="388">
        <f>-VLOOKUP(A304,Paramètres!$B$23:$C$322,2,FALSE)*$N$5</f>
        <v>0</v>
      </c>
      <c r="O304" s="408"/>
      <c r="P304" s="639">
        <f t="shared" si="23"/>
        <v>49818.547601001032</v>
      </c>
      <c r="Q304" s="640"/>
      <c r="R304" s="640"/>
      <c r="S304" s="641"/>
      <c r="T304" s="388">
        <f>PCS!D304</f>
        <v>106267.05212392886</v>
      </c>
      <c r="U304" s="379">
        <f>Police!U304</f>
        <v>16028.983894428104</v>
      </c>
      <c r="V304" s="431">
        <f t="shared" si="24"/>
        <v>172114.58361935799</v>
      </c>
      <c r="W304" s="229"/>
      <c r="X304" s="229"/>
      <c r="Y304" s="229"/>
      <c r="Z304" s="99"/>
    </row>
    <row r="305" spans="1:26" x14ac:dyDescent="0.25">
      <c r="A305" s="208">
        <f>Données!A305</f>
        <v>5937</v>
      </c>
      <c r="B305" s="209" t="str">
        <f>Données!B305</f>
        <v>Vugelles-La Mothe</v>
      </c>
      <c r="C305" s="387">
        <f>Ressources!H305</f>
        <v>-153118.47318965252</v>
      </c>
      <c r="D305" s="387">
        <f>Ressources!L305</f>
        <v>0</v>
      </c>
      <c r="E305" s="430">
        <f>Ressources!T305</f>
        <v>-28854.981784705546</v>
      </c>
      <c r="F305" s="388">
        <f t="shared" si="20"/>
        <v>-181973.45497435806</v>
      </c>
      <c r="G305" s="387">
        <f>'Besoins structurels'!I305</f>
        <v>-20009</v>
      </c>
      <c r="H305" s="387">
        <f>'Besoins structurels'!N305</f>
        <v>0</v>
      </c>
      <c r="I305" s="387">
        <f>'Besoins structurels'!V305</f>
        <v>0</v>
      </c>
      <c r="J305" s="389">
        <f t="shared" si="21"/>
        <v>-20009</v>
      </c>
      <c r="K305" s="387">
        <f>'Charges des villes'!N305</f>
        <v>67762.870171625764</v>
      </c>
      <c r="L305" s="387">
        <f>'Charges des villes'!U305</f>
        <v>14868.024489928335</v>
      </c>
      <c r="M305" s="378">
        <f t="shared" si="22"/>
        <v>82630.894661554106</v>
      </c>
      <c r="N305" s="388">
        <f>-VLOOKUP(A305,Paramètres!$B$23:$C$322,2,FALSE)*$N$5</f>
        <v>0</v>
      </c>
      <c r="O305" s="408"/>
      <c r="P305" s="639">
        <f t="shared" si="23"/>
        <v>-119351.56031280395</v>
      </c>
      <c r="Q305" s="640"/>
      <c r="R305" s="640"/>
      <c r="S305" s="641"/>
      <c r="T305" s="388">
        <f>PCS!D305</f>
        <v>144641.26539090317</v>
      </c>
      <c r="U305" s="379">
        <f>Police!U305</f>
        <v>21817.228078527143</v>
      </c>
      <c r="V305" s="431">
        <f t="shared" si="24"/>
        <v>47106.933156626357</v>
      </c>
      <c r="W305" s="229"/>
      <c r="X305" s="229"/>
      <c r="Y305" s="229"/>
      <c r="Z305" s="99"/>
    </row>
    <row r="306" spans="1:26" x14ac:dyDescent="0.25">
      <c r="A306" s="208">
        <f>Données!A306</f>
        <v>5938</v>
      </c>
      <c r="B306" s="209" t="str">
        <f>Données!B306</f>
        <v>Yverdon-les-Bains</v>
      </c>
      <c r="C306" s="387">
        <f>Ressources!H306</f>
        <v>-37173235.016429357</v>
      </c>
      <c r="D306" s="387">
        <f>Ressources!L306</f>
        <v>0</v>
      </c>
      <c r="E306" s="430">
        <f>Ressources!T306</f>
        <v>-1123635.9594468614</v>
      </c>
      <c r="F306" s="388">
        <f t="shared" si="20"/>
        <v>-38296870.97587622</v>
      </c>
      <c r="G306" s="387">
        <f>'Besoins structurels'!I306</f>
        <v>0</v>
      </c>
      <c r="H306" s="387">
        <f>'Besoins structurels'!N306</f>
        <v>0</v>
      </c>
      <c r="I306" s="387">
        <f>'Besoins structurels'!V306</f>
        <v>0</v>
      </c>
      <c r="J306" s="389">
        <f t="shared" si="21"/>
        <v>0</v>
      </c>
      <c r="K306" s="387">
        <f>'Charges des villes'!N306</f>
        <v>-9169855.0454910584</v>
      </c>
      <c r="L306" s="387">
        <f>'Charges des villes'!U306</f>
        <v>-126161.4038877124</v>
      </c>
      <c r="M306" s="378">
        <f t="shared" si="22"/>
        <v>-9296016.4493787698</v>
      </c>
      <c r="N306" s="388">
        <f>-VLOOKUP(A306,Paramètres!$B$23:$C$322,2,FALSE)*$N$5</f>
        <v>0</v>
      </c>
      <c r="O306" s="408"/>
      <c r="P306" s="639">
        <f t="shared" si="23"/>
        <v>-47592887.425254986</v>
      </c>
      <c r="Q306" s="640"/>
      <c r="R306" s="640"/>
      <c r="S306" s="641"/>
      <c r="T306" s="388">
        <f>PCS!D306</f>
        <v>29845298.379842687</v>
      </c>
      <c r="U306" s="379">
        <f>Police!U306</f>
        <v>935192.04439970129</v>
      </c>
      <c r="V306" s="431">
        <f t="shared" si="24"/>
        <v>-16812397.001012597</v>
      </c>
      <c r="W306" s="229"/>
      <c r="X306" s="229"/>
      <c r="Y306" s="229"/>
      <c r="Z306" s="99"/>
    </row>
    <row r="307" spans="1:26" x14ac:dyDescent="0.25">
      <c r="A307" s="210">
        <f>Données!A307</f>
        <v>5939</v>
      </c>
      <c r="B307" s="211" t="str">
        <f>Données!B307</f>
        <v>Yvonand</v>
      </c>
      <c r="C307" s="396">
        <f>Ressources!H307</f>
        <v>-4206451.3032206977</v>
      </c>
      <c r="D307" s="396">
        <f>Ressources!L307</f>
        <v>0</v>
      </c>
      <c r="E307" s="432">
        <f>Ressources!T307</f>
        <v>-315103.59922508197</v>
      </c>
      <c r="F307" s="388">
        <f t="shared" si="20"/>
        <v>-4521554.9024457801</v>
      </c>
      <c r="G307" s="396">
        <f>'Besoins structurels'!I307</f>
        <v>0</v>
      </c>
      <c r="H307" s="396">
        <f>'Besoins structurels'!N307</f>
        <v>0</v>
      </c>
      <c r="I307" s="396">
        <f>'Besoins structurels'!V307</f>
        <v>-2163</v>
      </c>
      <c r="J307" s="400">
        <f t="shared" si="21"/>
        <v>-2163</v>
      </c>
      <c r="K307" s="396">
        <f>'Charges des villes'!N307</f>
        <v>867322.11083446443</v>
      </c>
      <c r="L307" s="396">
        <f>'Charges des villes'!U307</f>
        <v>356529.15868705703</v>
      </c>
      <c r="M307" s="399">
        <f t="shared" si="22"/>
        <v>1223851.2695215214</v>
      </c>
      <c r="N307" s="388">
        <f>-VLOOKUP(A307,Paramètres!$B$23:$C$322,2,FALSE)*$N$5</f>
        <v>0</v>
      </c>
      <c r="O307" s="408"/>
      <c r="P307" s="639">
        <f t="shared" si="23"/>
        <v>-3299866.6329242587</v>
      </c>
      <c r="Q307" s="640"/>
      <c r="R307" s="640"/>
      <c r="S307" s="641"/>
      <c r="T307" s="398">
        <f>PCS!D307</f>
        <v>3468438.5068226783</v>
      </c>
      <c r="U307" s="379">
        <f>Police!U307</f>
        <v>593142.37828224478</v>
      </c>
      <c r="V307" s="433">
        <f t="shared" si="24"/>
        <v>761714.25218066433</v>
      </c>
      <c r="W307" s="229"/>
      <c r="X307" s="229"/>
      <c r="Y307" s="229"/>
      <c r="Z307" s="99"/>
    </row>
    <row r="308" spans="1:26" x14ac:dyDescent="0.25">
      <c r="A308" s="11"/>
      <c r="C308" s="398">
        <f>SUM(C8:C307)</f>
        <v>-4.8521906137466431E-7</v>
      </c>
      <c r="D308" s="398">
        <f t="shared" ref="D308:F308" si="25">SUM(D8:D307)</f>
        <v>-2013825</v>
      </c>
      <c r="E308" s="400">
        <f t="shared" si="25"/>
        <v>450000.00000009476</v>
      </c>
      <c r="F308" s="407">
        <f t="shared" si="25"/>
        <v>-1563825.0000003893</v>
      </c>
      <c r="G308" s="407">
        <f t="shared" ref="G308:M308" si="26">SUM(G8:G307)</f>
        <v>-8071860</v>
      </c>
      <c r="H308" s="407">
        <f t="shared" si="26"/>
        <v>-14967481</v>
      </c>
      <c r="I308" s="407">
        <f t="shared" si="26"/>
        <v>-5944171</v>
      </c>
      <c r="J308" s="434">
        <f t="shared" si="26"/>
        <v>-28983512</v>
      </c>
      <c r="K308" s="407">
        <f t="shared" si="26"/>
        <v>4.1723251342773438E-7</v>
      </c>
      <c r="L308" s="407">
        <f t="shared" si="26"/>
        <v>2.4971086531877518E-8</v>
      </c>
      <c r="M308" s="435">
        <f t="shared" si="26"/>
        <v>4.637986421585083E-7</v>
      </c>
      <c r="N308" s="407">
        <f>SUM(N8:N307)</f>
        <v>-10113300</v>
      </c>
      <c r="O308" s="408"/>
      <c r="P308" s="679">
        <f>SUM(P8:R307)</f>
        <v>-40660636.99999997</v>
      </c>
      <c r="Q308" s="680"/>
      <c r="R308" s="680"/>
      <c r="S308" s="681"/>
      <c r="T308" s="398">
        <f>SUM(T8:T307)</f>
        <v>842017810.99999976</v>
      </c>
      <c r="U308" s="425">
        <f>SUM(U8:U307)</f>
        <v>75383815.000000015</v>
      </c>
      <c r="V308" s="433">
        <f>SUM(V8:V307)</f>
        <v>876740989</v>
      </c>
    </row>
    <row r="309" spans="1:26" x14ac:dyDescent="0.25">
      <c r="N309" s="99"/>
      <c r="V309" s="99"/>
    </row>
  </sheetData>
  <sheetProtection sheet="1" objects="1" scenarios="1"/>
  <mergeCells count="315">
    <mergeCell ref="P304:S304"/>
    <mergeCell ref="P305:S305"/>
    <mergeCell ref="P306:S306"/>
    <mergeCell ref="P307:S307"/>
    <mergeCell ref="P308:S308"/>
    <mergeCell ref="P295:S295"/>
    <mergeCell ref="P296:S296"/>
    <mergeCell ref="P297:S297"/>
    <mergeCell ref="P298:S298"/>
    <mergeCell ref="P299:S299"/>
    <mergeCell ref="P300:S300"/>
    <mergeCell ref="P301:S301"/>
    <mergeCell ref="P302:S302"/>
    <mergeCell ref="P303:S303"/>
    <mergeCell ref="P289:S289"/>
    <mergeCell ref="P290:S290"/>
    <mergeCell ref="P291:S291"/>
    <mergeCell ref="P292:S292"/>
    <mergeCell ref="P293:S293"/>
    <mergeCell ref="P294:S294"/>
    <mergeCell ref="P280:S280"/>
    <mergeCell ref="P281:S281"/>
    <mergeCell ref="P279:S279"/>
    <mergeCell ref="P286:S286"/>
    <mergeCell ref="P287:S287"/>
    <mergeCell ref="P288:S288"/>
    <mergeCell ref="P284:S284"/>
    <mergeCell ref="P285:S285"/>
    <mergeCell ref="P256:S256"/>
    <mergeCell ref="P257:S257"/>
    <mergeCell ref="P258:S258"/>
    <mergeCell ref="P259:S259"/>
    <mergeCell ref="P260:S260"/>
    <mergeCell ref="P261:S261"/>
    <mergeCell ref="P262:S262"/>
    <mergeCell ref="P263:S263"/>
    <mergeCell ref="P264:S264"/>
    <mergeCell ref="P266:S266"/>
    <mergeCell ref="P267:S267"/>
    <mergeCell ref="P268:S268"/>
    <mergeCell ref="P269:S269"/>
    <mergeCell ref="P282:S282"/>
    <mergeCell ref="P283:S283"/>
    <mergeCell ref="P274:S274"/>
    <mergeCell ref="P275:S275"/>
    <mergeCell ref="P278:S278"/>
    <mergeCell ref="P276:S276"/>
    <mergeCell ref="P246:S246"/>
    <mergeCell ref="P247:S247"/>
    <mergeCell ref="P248:S248"/>
    <mergeCell ref="P249:S249"/>
    <mergeCell ref="P250:S250"/>
    <mergeCell ref="P245:S245"/>
    <mergeCell ref="P235:S235"/>
    <mergeCell ref="P277:S277"/>
    <mergeCell ref="P265:S265"/>
    <mergeCell ref="P239:S239"/>
    <mergeCell ref="P240:S240"/>
    <mergeCell ref="P241:S241"/>
    <mergeCell ref="P242:S242"/>
    <mergeCell ref="P243:S243"/>
    <mergeCell ref="P244:S244"/>
    <mergeCell ref="P251:S251"/>
    <mergeCell ref="P252:S252"/>
    <mergeCell ref="P253:S253"/>
    <mergeCell ref="P254:S254"/>
    <mergeCell ref="P255:S255"/>
    <mergeCell ref="P270:S270"/>
    <mergeCell ref="P271:S271"/>
    <mergeCell ref="P272:S272"/>
    <mergeCell ref="P273:S273"/>
    <mergeCell ref="P216:S216"/>
    <mergeCell ref="P217:S217"/>
    <mergeCell ref="P218:S218"/>
    <mergeCell ref="P219:S219"/>
    <mergeCell ref="P220:S220"/>
    <mergeCell ref="P221:S221"/>
    <mergeCell ref="P222:S222"/>
    <mergeCell ref="P223:S223"/>
    <mergeCell ref="P224:S224"/>
    <mergeCell ref="P225:S225"/>
    <mergeCell ref="P226:S226"/>
    <mergeCell ref="P227:S227"/>
    <mergeCell ref="P228:S228"/>
    <mergeCell ref="P229:S229"/>
    <mergeCell ref="P230:S230"/>
    <mergeCell ref="P231:S231"/>
    <mergeCell ref="P232:S232"/>
    <mergeCell ref="P233:S233"/>
    <mergeCell ref="P234:S234"/>
    <mergeCell ref="P236:S236"/>
    <mergeCell ref="P237:S237"/>
    <mergeCell ref="P238:S238"/>
    <mergeCell ref="P215:S215"/>
    <mergeCell ref="P196:S196"/>
    <mergeCell ref="P197:S197"/>
    <mergeCell ref="P198:S198"/>
    <mergeCell ref="P199:S199"/>
    <mergeCell ref="P200:S200"/>
    <mergeCell ref="P201:S201"/>
    <mergeCell ref="P202:S202"/>
    <mergeCell ref="P203:S203"/>
    <mergeCell ref="P204:S204"/>
    <mergeCell ref="P205:S205"/>
    <mergeCell ref="P206:S206"/>
    <mergeCell ref="P207:S207"/>
    <mergeCell ref="P208:S208"/>
    <mergeCell ref="P209:S209"/>
    <mergeCell ref="P210:S210"/>
    <mergeCell ref="P211:S211"/>
    <mergeCell ref="P212:S212"/>
    <mergeCell ref="P213:S213"/>
    <mergeCell ref="P214:S214"/>
    <mergeCell ref="P195:S195"/>
    <mergeCell ref="P176:S176"/>
    <mergeCell ref="P177:S177"/>
    <mergeCell ref="P178:S178"/>
    <mergeCell ref="P179:S179"/>
    <mergeCell ref="P180:S180"/>
    <mergeCell ref="P181:S181"/>
    <mergeCell ref="P182:S182"/>
    <mergeCell ref="P183:S183"/>
    <mergeCell ref="P184:S184"/>
    <mergeCell ref="P185:S185"/>
    <mergeCell ref="P186:S186"/>
    <mergeCell ref="P187:S187"/>
    <mergeCell ref="P188:S188"/>
    <mergeCell ref="P189:S189"/>
    <mergeCell ref="P190:S190"/>
    <mergeCell ref="P191:S191"/>
    <mergeCell ref="P192:S192"/>
    <mergeCell ref="P193:S193"/>
    <mergeCell ref="P194:S194"/>
    <mergeCell ref="P175:S175"/>
    <mergeCell ref="P156:S156"/>
    <mergeCell ref="P157:S157"/>
    <mergeCell ref="P158:S158"/>
    <mergeCell ref="P159:S159"/>
    <mergeCell ref="P160:S160"/>
    <mergeCell ref="P161:S161"/>
    <mergeCell ref="P162:S162"/>
    <mergeCell ref="P163:S163"/>
    <mergeCell ref="P164:S164"/>
    <mergeCell ref="P165:S165"/>
    <mergeCell ref="P166:S166"/>
    <mergeCell ref="P167:S167"/>
    <mergeCell ref="P168:S168"/>
    <mergeCell ref="P169:S169"/>
    <mergeCell ref="P170:S170"/>
    <mergeCell ref="P171:S171"/>
    <mergeCell ref="P172:S172"/>
    <mergeCell ref="P173:S173"/>
    <mergeCell ref="P174:S174"/>
    <mergeCell ref="P155:S155"/>
    <mergeCell ref="P136:S136"/>
    <mergeCell ref="P137:S137"/>
    <mergeCell ref="P138:S138"/>
    <mergeCell ref="P139:S139"/>
    <mergeCell ref="P140:S140"/>
    <mergeCell ref="P141:S141"/>
    <mergeCell ref="P142:S142"/>
    <mergeCell ref="P143:S143"/>
    <mergeCell ref="P144:S144"/>
    <mergeCell ref="P145:S145"/>
    <mergeCell ref="P146:S146"/>
    <mergeCell ref="P147:S147"/>
    <mergeCell ref="P148:S148"/>
    <mergeCell ref="P149:S149"/>
    <mergeCell ref="P150:S150"/>
    <mergeCell ref="P151:S151"/>
    <mergeCell ref="P152:S152"/>
    <mergeCell ref="P153:S153"/>
    <mergeCell ref="P154:S154"/>
    <mergeCell ref="P135:S135"/>
    <mergeCell ref="P116:S116"/>
    <mergeCell ref="P117:S117"/>
    <mergeCell ref="P118:S118"/>
    <mergeCell ref="P119:S119"/>
    <mergeCell ref="P120:S120"/>
    <mergeCell ref="P121:S121"/>
    <mergeCell ref="P122:S122"/>
    <mergeCell ref="P123:S123"/>
    <mergeCell ref="P124:S124"/>
    <mergeCell ref="P125:S125"/>
    <mergeCell ref="P126:S126"/>
    <mergeCell ref="P127:S127"/>
    <mergeCell ref="P128:S128"/>
    <mergeCell ref="P129:S129"/>
    <mergeCell ref="P130:S130"/>
    <mergeCell ref="P131:S131"/>
    <mergeCell ref="P132:S132"/>
    <mergeCell ref="P133:S133"/>
    <mergeCell ref="P134:S134"/>
    <mergeCell ref="P115:S115"/>
    <mergeCell ref="P96:S96"/>
    <mergeCell ref="P97:S97"/>
    <mergeCell ref="P98:S98"/>
    <mergeCell ref="P99:S99"/>
    <mergeCell ref="P100:S100"/>
    <mergeCell ref="P101:S101"/>
    <mergeCell ref="P102:S102"/>
    <mergeCell ref="P103:S103"/>
    <mergeCell ref="P104:S104"/>
    <mergeCell ref="P105:S105"/>
    <mergeCell ref="P106:S106"/>
    <mergeCell ref="P107:S107"/>
    <mergeCell ref="P108:S108"/>
    <mergeCell ref="P109:S109"/>
    <mergeCell ref="P110:S110"/>
    <mergeCell ref="P111:S111"/>
    <mergeCell ref="P112:S112"/>
    <mergeCell ref="P113:S113"/>
    <mergeCell ref="P114:S114"/>
    <mergeCell ref="P95:S95"/>
    <mergeCell ref="P76:S76"/>
    <mergeCell ref="P77:S77"/>
    <mergeCell ref="P78:S78"/>
    <mergeCell ref="P79:S79"/>
    <mergeCell ref="P80:S80"/>
    <mergeCell ref="P81:S81"/>
    <mergeCell ref="P82:S82"/>
    <mergeCell ref="P83:S83"/>
    <mergeCell ref="P84:S84"/>
    <mergeCell ref="P85:S85"/>
    <mergeCell ref="P86:S86"/>
    <mergeCell ref="P87:S87"/>
    <mergeCell ref="P88:S88"/>
    <mergeCell ref="P89:S89"/>
    <mergeCell ref="P90:S90"/>
    <mergeCell ref="P91:S91"/>
    <mergeCell ref="P92:S92"/>
    <mergeCell ref="P93:S93"/>
    <mergeCell ref="P94:S94"/>
    <mergeCell ref="P75:S75"/>
    <mergeCell ref="P56:S56"/>
    <mergeCell ref="P57:S57"/>
    <mergeCell ref="P58:S58"/>
    <mergeCell ref="P59:S59"/>
    <mergeCell ref="P60:S60"/>
    <mergeCell ref="P61:S61"/>
    <mergeCell ref="P62:S62"/>
    <mergeCell ref="P63:S63"/>
    <mergeCell ref="P64:S64"/>
    <mergeCell ref="P65:S65"/>
    <mergeCell ref="P66:S66"/>
    <mergeCell ref="P67:S67"/>
    <mergeCell ref="P68:S68"/>
    <mergeCell ref="P69:S69"/>
    <mergeCell ref="P70:S70"/>
    <mergeCell ref="P71:S71"/>
    <mergeCell ref="P72:S72"/>
    <mergeCell ref="P73:S73"/>
    <mergeCell ref="P74:S74"/>
    <mergeCell ref="P55:S55"/>
    <mergeCell ref="P36:S36"/>
    <mergeCell ref="P37:S37"/>
    <mergeCell ref="P38:S38"/>
    <mergeCell ref="P39:S39"/>
    <mergeCell ref="P40:S40"/>
    <mergeCell ref="P41:S41"/>
    <mergeCell ref="P42:S42"/>
    <mergeCell ref="P43:S43"/>
    <mergeCell ref="P44:S44"/>
    <mergeCell ref="P45:S45"/>
    <mergeCell ref="P46:S46"/>
    <mergeCell ref="P47:S47"/>
    <mergeCell ref="P48:S48"/>
    <mergeCell ref="P49:S49"/>
    <mergeCell ref="P50:S50"/>
    <mergeCell ref="P51:S51"/>
    <mergeCell ref="P52:S52"/>
    <mergeCell ref="P53:S53"/>
    <mergeCell ref="P54:S54"/>
    <mergeCell ref="P35:S35"/>
    <mergeCell ref="P16:S16"/>
    <mergeCell ref="P17:S17"/>
    <mergeCell ref="P18:S18"/>
    <mergeCell ref="P19:S19"/>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T5:U6"/>
    <mergeCell ref="P5:P6"/>
    <mergeCell ref="Q5:Q6"/>
    <mergeCell ref="R5:R6"/>
    <mergeCell ref="S5:S6"/>
    <mergeCell ref="P7:S7"/>
    <mergeCell ref="P8:S8"/>
    <mergeCell ref="P9:S9"/>
    <mergeCell ref="P10:S10"/>
    <mergeCell ref="P11:S11"/>
    <mergeCell ref="P12:S12"/>
    <mergeCell ref="P13:S13"/>
    <mergeCell ref="P14:S14"/>
    <mergeCell ref="P15:S15"/>
    <mergeCell ref="C5:F6"/>
    <mergeCell ref="G5:J6"/>
    <mergeCell ref="K5:M6"/>
    <mergeCell ref="A3:B3"/>
    <mergeCell ref="A4:B4"/>
    <mergeCell ref="A5:A7"/>
    <mergeCell ref="B5:B7"/>
    <mergeCell ref="N6:N7"/>
  </mergeCells>
  <conditionalFormatting sqref="V6">
    <cfRule type="cellIs" dxfId="35" priority="7" operator="equal">
      <formula>"ERREUR"</formula>
    </cfRule>
    <cfRule type="cellIs" dxfId="34" priority="8" operator="equal">
      <formula>"OK"</formula>
    </cfRule>
  </conditionalFormatting>
  <hyperlinks>
    <hyperlink ref="C1" location="Police!A1" display="← Précédent" xr:uid="{1836622A-A0F2-4DFA-8A05-152CB901E5E2}"/>
    <hyperlink ref="D1" location="'Table des matières'!A1" display="Table des matières" xr:uid="{CD2790B8-833F-4D6C-A1E2-ACB587BD44DD}"/>
    <hyperlink ref="E1" location="'Synthèse par commune'!A1" display="Synthèse par commune" xr:uid="{AD7A4D3A-3950-4519-ACEB-C6F99F2F729C}"/>
    <hyperlink ref="F1" location="'Détail par commune'!A1" display="Détail par commune" xr:uid="{598E817D-B9D6-4E14-8481-B15709CD1698}"/>
    <hyperlink ref="G1" location="'Données par commune'!A1" display="Données par commune" xr:uid="{B85131E4-51F1-4190-8366-DBC9E2DDFC7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1CE4-C647-443E-B824-4D7014C43E34}">
  <sheetPr>
    <tabColor rgb="FFCCCCFF"/>
    <pageSetUpPr fitToPage="1"/>
  </sheetPr>
  <dimension ref="B1:J30"/>
  <sheetViews>
    <sheetView tabSelected="1" zoomScale="80" zoomScaleNormal="80" workbookViewId="0">
      <selection activeCell="C3" sqref="C3:D3"/>
    </sheetView>
  </sheetViews>
  <sheetFormatPr baseColWidth="10" defaultRowHeight="15" outlineLevelRow="1" x14ac:dyDescent="0.25"/>
  <cols>
    <col min="1" max="1" width="5.7109375" style="19" customWidth="1"/>
    <col min="2" max="2" width="18.5703125" style="19" customWidth="1"/>
    <col min="3" max="4" width="20" style="19" customWidth="1"/>
    <col min="5" max="5" width="18.5703125" style="19" customWidth="1"/>
    <col min="6" max="6" width="5.7109375" style="19" customWidth="1"/>
    <col min="7" max="16384" width="11.42578125" style="19"/>
  </cols>
  <sheetData>
    <row r="1" spans="2:10" ht="30" customHeight="1" thickTop="1" thickBot="1" x14ac:dyDescent="0.3">
      <c r="B1" s="682" t="str">
        <f>Synthèse!A2</f>
        <v>Décompte prévisionnel 2026</v>
      </c>
      <c r="C1" s="683"/>
      <c r="D1" s="683"/>
      <c r="E1" s="684"/>
      <c r="F1" s="228"/>
      <c r="G1" s="133" t="s">
        <v>443</v>
      </c>
      <c r="H1" s="133" t="s">
        <v>422</v>
      </c>
      <c r="I1" s="133" t="s">
        <v>487</v>
      </c>
      <c r="J1" s="133" t="s">
        <v>564</v>
      </c>
    </row>
    <row r="2" spans="2:10" ht="15" customHeight="1" thickTop="1" x14ac:dyDescent="0.2">
      <c r="B2" s="217"/>
      <c r="C2" s="218"/>
      <c r="D2" s="218"/>
      <c r="E2" s="219" t="s">
        <v>486</v>
      </c>
      <c r="F2" s="219"/>
    </row>
    <row r="3" spans="2:10" ht="22.5" customHeight="1" x14ac:dyDescent="0.25">
      <c r="B3" s="220" t="s">
        <v>393</v>
      </c>
      <c r="C3" s="694"/>
      <c r="D3" s="695"/>
      <c r="E3" s="221" t="e">
        <f>VLOOKUP(C3,Paramètres!A23:B322,2,FALSE)</f>
        <v>#N/A</v>
      </c>
      <c r="F3" s="227"/>
    </row>
    <row r="4" spans="2:10" ht="15" customHeight="1" x14ac:dyDescent="0.2">
      <c r="B4" s="217"/>
      <c r="C4" s="217"/>
      <c r="D4" s="217"/>
      <c r="E4" s="226" t="s">
        <v>491</v>
      </c>
      <c r="F4" s="226"/>
      <c r="G4" s="18"/>
    </row>
    <row r="5" spans="2:10" ht="22.5" customHeight="1" x14ac:dyDescent="0.25">
      <c r="B5" s="685" t="s">
        <v>449</v>
      </c>
      <c r="C5" s="685"/>
      <c r="D5" s="685"/>
      <c r="E5" s="261" t="e">
        <f>VLOOKUP(C3,Synthèse!B8:F307,5,FALSE)</f>
        <v>#N/A</v>
      </c>
      <c r="F5" s="223"/>
    </row>
    <row r="6" spans="2:10" ht="22.5" customHeight="1" outlineLevel="1" x14ac:dyDescent="0.2">
      <c r="B6" s="697" t="s">
        <v>430</v>
      </c>
      <c r="C6" s="698"/>
      <c r="D6" s="699"/>
      <c r="E6" s="222" t="e">
        <f>VLOOKUP(C3,Synthèse!B8:C307,2,FALSE)</f>
        <v>#N/A</v>
      </c>
      <c r="F6" s="226"/>
    </row>
    <row r="7" spans="2:10" ht="22.5" customHeight="1" outlineLevel="1" x14ac:dyDescent="0.2">
      <c r="B7" s="700" t="s">
        <v>11</v>
      </c>
      <c r="C7" s="700"/>
      <c r="D7" s="700"/>
      <c r="E7" s="222" t="e">
        <f>VLOOKUP(C3,Synthèse!B8:D307,3,FALSE)</f>
        <v>#N/A</v>
      </c>
      <c r="F7" s="226"/>
    </row>
    <row r="8" spans="2:10" ht="22.5" customHeight="1" outlineLevel="1" x14ac:dyDescent="0.2">
      <c r="B8" s="700" t="s">
        <v>20</v>
      </c>
      <c r="C8" s="700"/>
      <c r="D8" s="700"/>
      <c r="E8" s="222" t="e">
        <f>VLOOKUP(C3,Synthèse!B8:E307,4,FALSE)</f>
        <v>#N/A</v>
      </c>
      <c r="F8" s="226"/>
    </row>
    <row r="9" spans="2:10" s="35" customFormat="1" ht="11.25" customHeight="1" x14ac:dyDescent="0.25">
      <c r="B9" s="233"/>
      <c r="C9" s="233"/>
      <c r="D9" s="233"/>
      <c r="E9" s="225"/>
      <c r="F9" s="223"/>
    </row>
    <row r="10" spans="2:10" ht="22.5" customHeight="1" x14ac:dyDescent="0.25">
      <c r="B10" s="686" t="s">
        <v>450</v>
      </c>
      <c r="C10" s="686"/>
      <c r="D10" s="686"/>
      <c r="E10" s="262" t="e">
        <f>VLOOKUP(C3,Synthèse!B8:J307,9,FALSE)</f>
        <v>#N/A</v>
      </c>
      <c r="F10" s="223"/>
    </row>
    <row r="11" spans="2:10" s="234" customFormat="1" ht="22.5" customHeight="1" outlineLevel="1" x14ac:dyDescent="0.25">
      <c r="B11" s="691" t="s">
        <v>500</v>
      </c>
      <c r="C11" s="691"/>
      <c r="D11" s="691"/>
      <c r="E11" s="222" t="e">
        <f>VLOOKUP(C3,Synthèse!B8:G307,6,FALSE)</f>
        <v>#N/A</v>
      </c>
      <c r="F11" s="223"/>
    </row>
    <row r="12" spans="2:10" s="234" customFormat="1" ht="22.5" customHeight="1" outlineLevel="1" x14ac:dyDescent="0.25">
      <c r="B12" s="691" t="s">
        <v>501</v>
      </c>
      <c r="C12" s="691"/>
      <c r="D12" s="691"/>
      <c r="E12" s="222" t="e">
        <f>VLOOKUP(C3,Synthèse!B8:H307,7,FALSE)</f>
        <v>#N/A</v>
      </c>
      <c r="F12" s="223"/>
    </row>
    <row r="13" spans="2:10" s="234" customFormat="1" ht="22.5" customHeight="1" outlineLevel="1" x14ac:dyDescent="0.25">
      <c r="B13" s="691" t="s">
        <v>502</v>
      </c>
      <c r="C13" s="691"/>
      <c r="D13" s="691"/>
      <c r="E13" s="222" t="e">
        <f>VLOOKUP(C3,Synthèse!B8:I307,8,FALSE)</f>
        <v>#N/A</v>
      </c>
      <c r="F13" s="223"/>
    </row>
    <row r="14" spans="2:10" s="35" customFormat="1" ht="11.25" customHeight="1" x14ac:dyDescent="0.25">
      <c r="B14" s="233"/>
      <c r="C14" s="233"/>
      <c r="D14" s="233"/>
      <c r="E14" s="225"/>
      <c r="F14" s="223"/>
    </row>
    <row r="15" spans="2:10" ht="22.5" customHeight="1" x14ac:dyDescent="0.25">
      <c r="B15" s="690" t="s">
        <v>504</v>
      </c>
      <c r="C15" s="690"/>
      <c r="D15" s="690"/>
      <c r="E15" s="263" t="e">
        <f>VLOOKUP(C3,Synthèse!B8:M307,12,FALSE)</f>
        <v>#N/A</v>
      </c>
      <c r="F15" s="223"/>
    </row>
    <row r="16" spans="2:10" ht="22.5" customHeight="1" outlineLevel="1" x14ac:dyDescent="0.25">
      <c r="B16" s="692" t="s">
        <v>420</v>
      </c>
      <c r="C16" s="692"/>
      <c r="D16" s="692"/>
      <c r="E16" s="222" t="e">
        <f>VLOOKUP(C3,Synthèse!B8:K307,10,FALSE)</f>
        <v>#N/A</v>
      </c>
      <c r="F16" s="223"/>
    </row>
    <row r="17" spans="2:6" ht="22.5" customHeight="1" outlineLevel="1" x14ac:dyDescent="0.25">
      <c r="B17" s="692" t="s">
        <v>503</v>
      </c>
      <c r="C17" s="692"/>
      <c r="D17" s="692"/>
      <c r="E17" s="222" t="e">
        <f>VLOOKUP(C3,Synthèse!B8:L307,11,FALSE)</f>
        <v>#N/A</v>
      </c>
      <c r="F17" s="223"/>
    </row>
    <row r="18" spans="2:6" s="35" customFormat="1" ht="11.25" customHeight="1" x14ac:dyDescent="0.25">
      <c r="B18" s="233"/>
      <c r="C18" s="233"/>
      <c r="D18" s="233"/>
      <c r="E18" s="225"/>
      <c r="F18" s="223"/>
    </row>
    <row r="19" spans="2:6" ht="22.5" customHeight="1" x14ac:dyDescent="0.25">
      <c r="B19" s="689" t="s">
        <v>490</v>
      </c>
      <c r="C19" s="689"/>
      <c r="D19" s="689"/>
      <c r="E19" s="265" t="e">
        <f>VLOOKUP(C3,Synthèse!B8:N307,13,FALSE)</f>
        <v>#N/A</v>
      </c>
      <c r="F19" s="223"/>
    </row>
    <row r="20" spans="2:6" s="35" customFormat="1" ht="27" customHeight="1" thickBot="1" x14ac:dyDescent="0.3">
      <c r="B20" s="233"/>
      <c r="C20" s="235"/>
      <c r="D20" s="235"/>
      <c r="E20" s="236"/>
      <c r="F20" s="223"/>
    </row>
    <row r="21" spans="2:6" s="35" customFormat="1" ht="27" customHeight="1" thickTop="1" x14ac:dyDescent="0.25">
      <c r="B21" s="437"/>
      <c r="C21" s="438"/>
      <c r="D21" s="438"/>
      <c r="E21" s="438"/>
      <c r="F21" s="223"/>
    </row>
    <row r="22" spans="2:6" ht="22.5" customHeight="1" x14ac:dyDescent="0.25">
      <c r="B22" s="687" t="s">
        <v>505</v>
      </c>
      <c r="C22" s="688"/>
      <c r="D22" s="688"/>
      <c r="E22" s="266" t="e">
        <f>ROUND(VLOOKUP(C3,Synthèse!B8:S307,15,FALSE),0)</f>
        <v>#N/A</v>
      </c>
      <c r="F22" s="224"/>
    </row>
    <row r="23" spans="2:6" ht="11.25" customHeight="1" x14ac:dyDescent="0.25">
      <c r="B23" s="472"/>
      <c r="C23" s="472"/>
      <c r="D23" s="472"/>
      <c r="E23" s="472"/>
      <c r="F23" s="224"/>
    </row>
    <row r="24" spans="2:6" ht="22.5" customHeight="1" x14ac:dyDescent="0.25">
      <c r="B24" s="696" t="s">
        <v>398</v>
      </c>
      <c r="C24" s="696"/>
      <c r="D24" s="696"/>
      <c r="E24" s="281" t="e">
        <f>ROUND(VLOOKUP(C3,Synthèse!B8:T307,19,FALSE),0)</f>
        <v>#N/A</v>
      </c>
      <c r="F24" s="224"/>
    </row>
    <row r="25" spans="2:6" s="35" customFormat="1" ht="11.25" customHeight="1" x14ac:dyDescent="0.25">
      <c r="B25" s="233"/>
      <c r="C25" s="233"/>
      <c r="D25" s="233"/>
      <c r="E25" s="225"/>
      <c r="F25" s="224"/>
    </row>
    <row r="26" spans="2:6" ht="22.5" customHeight="1" x14ac:dyDescent="0.25">
      <c r="B26" s="696" t="s">
        <v>33</v>
      </c>
      <c r="C26" s="696"/>
      <c r="D26" s="696"/>
      <c r="E26" s="281" t="e">
        <f>ROUND(VLOOKUP(C3,Synthèse!B8:U307,20,FALSE),0)</f>
        <v>#N/A</v>
      </c>
      <c r="F26" s="224"/>
    </row>
    <row r="27" spans="2:6" ht="22.5" customHeight="1" x14ac:dyDescent="0.25">
      <c r="B27" s="701" t="s">
        <v>62</v>
      </c>
      <c r="C27" s="701"/>
      <c r="D27" s="701"/>
      <c r="E27" s="222" t="e">
        <f>VLOOKUP(C3,Police!B8:Q307,16,FALSE)</f>
        <v>#N/A</v>
      </c>
      <c r="F27" s="224"/>
    </row>
    <row r="28" spans="2:6" ht="22.5" customHeight="1" x14ac:dyDescent="0.25">
      <c r="B28" s="701" t="s">
        <v>547</v>
      </c>
      <c r="C28" s="701"/>
      <c r="D28" s="701"/>
      <c r="E28" s="222" t="e">
        <f>VLOOKUP(C3,Police!B8:T307,17,0)+VLOOKUP(C3,Police!B8:T307,18,0)+VLOOKUP(C3,Police!B8:T307,19,0)</f>
        <v>#N/A</v>
      </c>
      <c r="F28" s="224"/>
    </row>
    <row r="29" spans="2:6" s="35" customFormat="1" ht="11.25" customHeight="1" x14ac:dyDescent="0.25">
      <c r="B29" s="233"/>
      <c r="C29" s="233"/>
      <c r="D29" s="233"/>
      <c r="E29" s="225"/>
      <c r="F29" s="224"/>
    </row>
    <row r="30" spans="2:6" ht="22.5" customHeight="1" x14ac:dyDescent="0.25">
      <c r="B30" s="693" t="s">
        <v>485</v>
      </c>
      <c r="C30" s="693"/>
      <c r="D30" s="693"/>
      <c r="E30" s="264" t="e">
        <f>E22+E24+E26</f>
        <v>#N/A</v>
      </c>
      <c r="F30" s="225"/>
    </row>
  </sheetData>
  <sheetProtection sheet="1" objects="1" scenarios="1"/>
  <mergeCells count="20">
    <mergeCell ref="B30:D30"/>
    <mergeCell ref="C3:D3"/>
    <mergeCell ref="B24:D24"/>
    <mergeCell ref="B26:D26"/>
    <mergeCell ref="B6:D6"/>
    <mergeCell ref="B7:D7"/>
    <mergeCell ref="B8:D8"/>
    <mergeCell ref="B11:D11"/>
    <mergeCell ref="B12:D12"/>
    <mergeCell ref="B27:D27"/>
    <mergeCell ref="B28:D28"/>
    <mergeCell ref="B1:E1"/>
    <mergeCell ref="B5:D5"/>
    <mergeCell ref="B10:D10"/>
    <mergeCell ref="B22:D22"/>
    <mergeCell ref="B19:D19"/>
    <mergeCell ref="B15:D15"/>
    <mergeCell ref="B13:D13"/>
    <mergeCell ref="B16:D16"/>
    <mergeCell ref="B17:D17"/>
  </mergeCells>
  <hyperlinks>
    <hyperlink ref="G1" location="'Table des matières'!A1" display="'Table des matières'!A1" xr:uid="{E8CE9F77-D36D-4D73-B821-5BEF671C0887}"/>
    <hyperlink ref="H1" location="Synthèse!A1" display="Vue d'ensemble" xr:uid="{1B8D16C6-5F80-4976-969D-FF512744C891}"/>
    <hyperlink ref="I1" location="'Détail par commune'!A1" display="Détail par commune" xr:uid="{252D32EA-ED7A-4A9F-B971-14F78BAA4764}"/>
    <hyperlink ref="J1" location="'Données par commune'!A1" display="Données par commune" xr:uid="{1C50F4DF-1CF5-4DB5-AC0E-65265EF271C4}"/>
  </hyperlinks>
  <printOptions horizontalCentered="1"/>
  <pageMargins left="0.70866141732283472" right="0.70866141732283472" top="0.74803149606299213" bottom="0.74803149606299213"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CFAFB2-2723-4A1E-8B00-F430760B3380}">
          <x14:formula1>
            <xm:f>Paramètres!$A$23:$A$322</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A692-76C5-445F-A68B-E4D89C95C1CB}">
  <sheetPr codeName="Feuil1">
    <tabColor rgb="FFCCCCFF"/>
    <pageSetUpPr fitToPage="1"/>
  </sheetPr>
  <dimension ref="B1:Y256"/>
  <sheetViews>
    <sheetView zoomScale="90" zoomScaleNormal="90" workbookViewId="0">
      <selection activeCell="D2" sqref="D2:G2"/>
    </sheetView>
  </sheetViews>
  <sheetFormatPr baseColWidth="10" defaultRowHeight="15" x14ac:dyDescent="0.25"/>
  <cols>
    <col min="1" max="1" width="5.7109375" style="4" customWidth="1"/>
    <col min="2" max="4" width="12.28515625" style="4" customWidth="1"/>
    <col min="5" max="5" width="10.140625" style="4" customWidth="1"/>
    <col min="6" max="6" width="16.140625" style="4" customWidth="1"/>
    <col min="7" max="7" width="14.28515625" style="4" customWidth="1"/>
    <col min="8" max="8" width="7.140625" style="4" customWidth="1"/>
    <col min="9" max="14" width="15.28515625" style="4" customWidth="1"/>
    <col min="15" max="15" width="7.140625" style="4" customWidth="1"/>
    <col min="16" max="18" width="11.42578125" style="4"/>
    <col min="19" max="19" width="10" style="4" customWidth="1"/>
    <col min="20" max="20" width="15.42578125" style="4" customWidth="1"/>
    <col min="21" max="21" width="14.28515625" style="4" customWidth="1"/>
    <col min="22" max="22" width="11.42578125" style="4"/>
    <col min="23" max="23" width="11.42578125" style="76"/>
    <col min="24" max="16384" width="11.42578125" style="4"/>
  </cols>
  <sheetData>
    <row r="1" spans="2:25" ht="22.5" customHeight="1" x14ac:dyDescent="0.25"/>
    <row r="2" spans="2:25" ht="22.5" customHeight="1" x14ac:dyDescent="0.25">
      <c r="B2" s="704" t="s">
        <v>393</v>
      </c>
      <c r="C2" s="704"/>
      <c r="D2" s="705"/>
      <c r="E2" s="706"/>
      <c r="F2" s="706"/>
      <c r="G2" s="707"/>
      <c r="J2" s="76"/>
      <c r="T2" s="741" t="str">
        <f>_xlfn.CONCAT(Paramètres!M5," ",Paramètres!N5)</f>
        <v>Décompte prévisionnel 2026</v>
      </c>
      <c r="U2" s="742"/>
      <c r="V2" s="740" t="s">
        <v>443</v>
      </c>
      <c r="W2" s="740" t="s">
        <v>422</v>
      </c>
      <c r="X2" s="740" t="s">
        <v>499</v>
      </c>
      <c r="Y2" s="739" t="s">
        <v>564</v>
      </c>
    </row>
    <row r="3" spans="2:25" ht="22.5" customHeight="1" x14ac:dyDescent="0.25">
      <c r="B3" s="41"/>
      <c r="C3" s="41"/>
      <c r="D3" s="9"/>
      <c r="E3" s="9"/>
      <c r="F3" s="9"/>
      <c r="G3" s="9"/>
      <c r="J3" s="76"/>
      <c r="T3" s="743"/>
      <c r="U3" s="744"/>
      <c r="V3" s="740"/>
      <c r="W3" s="740"/>
      <c r="X3" s="740"/>
      <c r="Y3" s="739"/>
    </row>
    <row r="4" spans="2:25" ht="22.5" customHeight="1" x14ac:dyDescent="0.25">
      <c r="B4" s="116" t="s">
        <v>471</v>
      </c>
      <c r="C4" s="137" t="str">
        <f>IFERROR(VLOOKUP(D2,Paramètres!A23:B322,2,FALSE),"Saisir commune")</f>
        <v>Saisir commune</v>
      </c>
      <c r="F4" s="9" t="s">
        <v>74</v>
      </c>
      <c r="G4" s="117" t="e">
        <f>VLOOKUP(C4,Ressources!A8:C307,3,FALSE)</f>
        <v>#N/A</v>
      </c>
    </row>
    <row r="5" spans="2:25" ht="22.5" customHeight="1" x14ac:dyDescent="0.25">
      <c r="B5" s="51" t="s">
        <v>429</v>
      </c>
      <c r="C5" s="52"/>
      <c r="D5" s="52"/>
      <c r="E5" s="52"/>
      <c r="F5" s="52"/>
      <c r="G5" s="52"/>
      <c r="I5" s="53" t="s">
        <v>78</v>
      </c>
      <c r="J5" s="53"/>
      <c r="K5" s="53"/>
      <c r="L5" s="53"/>
      <c r="M5" s="53"/>
      <c r="N5" s="54"/>
      <c r="P5" s="49" t="s">
        <v>92</v>
      </c>
      <c r="Q5" s="50"/>
      <c r="R5" s="50"/>
      <c r="S5" s="50"/>
      <c r="T5" s="50"/>
      <c r="U5" s="50"/>
    </row>
    <row r="6" spans="2:25" ht="22.5" customHeight="1" x14ac:dyDescent="0.25">
      <c r="B6" s="708" t="s">
        <v>71</v>
      </c>
      <c r="C6" s="708"/>
      <c r="D6" s="708"/>
      <c r="E6" s="708"/>
      <c r="F6" s="708"/>
      <c r="G6" s="3" t="e">
        <f>VLOOKUP(C4,Ressources!A8:F307,6,FALSE)</f>
        <v>#N/A</v>
      </c>
      <c r="I6" s="708" t="s">
        <v>79</v>
      </c>
      <c r="J6" s="708"/>
      <c r="K6" s="708"/>
      <c r="L6" s="708"/>
      <c r="M6" s="708"/>
      <c r="N6" s="3" t="e">
        <f>VLOOKUP(C4,'Besoins structurels'!A8:E307,5,FALSE)</f>
        <v>#N/A</v>
      </c>
      <c r="Q6" s="40"/>
      <c r="R6" s="40"/>
      <c r="S6" s="47" t="s">
        <v>82</v>
      </c>
      <c r="T6" s="48" t="s">
        <v>90</v>
      </c>
      <c r="U6" s="47" t="s">
        <v>21</v>
      </c>
    </row>
    <row r="7" spans="2:25" ht="22.5" customHeight="1" x14ac:dyDescent="0.25">
      <c r="B7" s="708" t="s">
        <v>72</v>
      </c>
      <c r="C7" s="708"/>
      <c r="D7" s="708"/>
      <c r="E7" s="708"/>
      <c r="F7" s="708"/>
      <c r="G7" s="3">
        <f>Ressources!F308</f>
        <v>3340.4146624228424</v>
      </c>
      <c r="I7" s="710" t="str">
        <f>_xlfn.CONCAT("Si elle avait une surface productive par habitant égale à ",TEXT('Besoins structurels'!I3,"0%")," de la médiane cantonale, elle aurait une surface productive de")</f>
        <v>Si elle avait une surface productive par habitant égale à 120% de la médiane cantonale, elle aurait une surface productive de</v>
      </c>
      <c r="J7" s="710"/>
      <c r="K7" s="710"/>
      <c r="L7" s="710"/>
      <c r="M7" s="710"/>
      <c r="N7" s="712" t="e">
        <f>VLOOKUP(C4,'Besoins structurels'!A8:G307,7,FALSE)</f>
        <v>#N/A</v>
      </c>
      <c r="P7" s="708" t="s">
        <v>83</v>
      </c>
      <c r="Q7" s="708"/>
      <c r="R7" s="708"/>
      <c r="S7" s="39" t="e">
        <f>VLOOKUP(C4,'Charges des villes'!A8:D307,4,FALSE)</f>
        <v>#N/A</v>
      </c>
      <c r="T7" s="39">
        <f>-'Charges des villes'!D6</f>
        <v>-132.9129574678536</v>
      </c>
      <c r="U7" s="44" t="e">
        <f>S7*T7</f>
        <v>#N/A</v>
      </c>
    </row>
    <row r="8" spans="2:25" ht="22.5" customHeight="1" x14ac:dyDescent="0.25">
      <c r="B8" s="709" t="s">
        <v>432</v>
      </c>
      <c r="C8" s="709"/>
      <c r="D8" s="709"/>
      <c r="E8" s="709"/>
      <c r="F8" s="97" t="s">
        <v>73</v>
      </c>
      <c r="G8" s="3" t="e">
        <f>G6-G7</f>
        <v>#N/A</v>
      </c>
      <c r="I8" s="710"/>
      <c r="J8" s="710"/>
      <c r="K8" s="710"/>
      <c r="L8" s="710"/>
      <c r="M8" s="710"/>
      <c r="N8" s="712"/>
      <c r="P8" s="708" t="s">
        <v>84</v>
      </c>
      <c r="Q8" s="708"/>
      <c r="R8" s="708"/>
      <c r="S8" s="39" t="e">
        <f>VLOOKUP(C4,'Charges des villes'!A8:E307,5,FALSE)</f>
        <v>#N/A</v>
      </c>
      <c r="T8" s="39">
        <f>-'Charges des villes'!E6</f>
        <v>-372.15628090999013</v>
      </c>
      <c r="U8" s="44" t="e">
        <f t="shared" ref="U8:U13" si="0">S8*T8</f>
        <v>#N/A</v>
      </c>
    </row>
    <row r="9" spans="2:25" ht="22.5" customHeight="1" x14ac:dyDescent="0.25">
      <c r="B9" s="709"/>
      <c r="C9" s="709"/>
      <c r="D9" s="709"/>
      <c r="E9" s="709"/>
      <c r="G9" s="43">
        <f>Paramètres!C5</f>
        <v>0.8</v>
      </c>
      <c r="I9" s="708" t="str">
        <f>_xlfn.CONCAT("L'écart entre sa surface productive et ",TEXT('Besoins structurels'!I3,"0%")," de la médiane est de")</f>
        <v>L'écart entre sa surface productive et 120% de la médiane est de</v>
      </c>
      <c r="J9" s="708"/>
      <c r="K9" s="708"/>
      <c r="L9" s="708"/>
      <c r="M9" s="708"/>
      <c r="N9" s="73" t="e">
        <f>N7-N6</f>
        <v>#N/A</v>
      </c>
      <c r="P9" s="708" t="s">
        <v>85</v>
      </c>
      <c r="Q9" s="708"/>
      <c r="R9" s="708"/>
      <c r="S9" s="39" t="e">
        <f>VLOOKUP(C4,'Charges des villes'!A8:F307,6,FALSE)</f>
        <v>#N/A</v>
      </c>
      <c r="T9" s="39">
        <f>-'Charges des villes'!F6</f>
        <v>-664.56478733926804</v>
      </c>
      <c r="U9" s="44" t="e">
        <f t="shared" si="0"/>
        <v>#N/A</v>
      </c>
    </row>
    <row r="10" spans="2:25" ht="22.5" customHeight="1" x14ac:dyDescent="0.25">
      <c r="B10" s="710" t="e">
        <f>IF(G10&gt;0,"Du moment que le revenu fiscal standardisé de la commune est supérieur à la moyenne, celle-ci participe au financement de la péréquation des ressources, avec un montant par habitant de CHF","Du moment que le revenu fiscal standardisé de la commune est inférieur à la moyenne, celle-ci reçoit un versement de la péréquation des ressources d'un montant par habitant de CHF")</f>
        <v>#N/A</v>
      </c>
      <c r="C10" s="710"/>
      <c r="D10" s="710"/>
      <c r="E10" s="710"/>
      <c r="F10" s="710"/>
      <c r="G10" s="714" t="e">
        <f>G9*G8</f>
        <v>#N/A</v>
      </c>
      <c r="I10" s="710" t="e">
        <f>IF(N9&gt;0,_xlfn.CONCAT("La surface productive de la commune étant inférieure à ",TEXT('Besoins structurels'!I3,"0%")," de la médiane, celle-ci ne reçoit pas de compensation de ce mécanisme de la péréquation"),_xlfn.CONCAT("La surface productive de la commune étant supérieure à ",TEXT('Besoins structurels'!I3,"0%")," de la médiane, celle-ci reçoit CHF ",TEXT(Paramètres!C18,0)," par hectare excédentaire, c'est-à-dire un total de CHF"))</f>
        <v>#N/A</v>
      </c>
      <c r="J10" s="710"/>
      <c r="K10" s="710"/>
      <c r="L10" s="710"/>
      <c r="M10" s="710"/>
      <c r="N10" s="702" t="e">
        <f>VLOOKUP(C4,'Besoins structurels'!A8:I307,9,FALSE)</f>
        <v>#N/A</v>
      </c>
      <c r="P10" s="708" t="s">
        <v>86</v>
      </c>
      <c r="Q10" s="708"/>
      <c r="R10" s="708"/>
      <c r="S10" s="39" t="e">
        <f>VLOOKUP(C4,'Charges des villes'!A8:G307,7,FALSE)</f>
        <v>#N/A</v>
      </c>
      <c r="T10" s="39">
        <f>-'Charges des villes'!G6</f>
        <v>-1063.3036597428288</v>
      </c>
      <c r="U10" s="44" t="e">
        <f t="shared" si="0"/>
        <v>#N/A</v>
      </c>
    </row>
    <row r="11" spans="2:25" ht="22.5" customHeight="1" x14ac:dyDescent="0.25">
      <c r="B11" s="710"/>
      <c r="C11" s="710"/>
      <c r="D11" s="710"/>
      <c r="E11" s="710"/>
      <c r="F11" s="710"/>
      <c r="G11" s="714"/>
      <c r="I11" s="710"/>
      <c r="J11" s="710"/>
      <c r="K11" s="710"/>
      <c r="L11" s="710"/>
      <c r="M11" s="710"/>
      <c r="N11" s="702"/>
      <c r="P11" s="708" t="s">
        <v>87</v>
      </c>
      <c r="Q11" s="708"/>
      <c r="R11" s="708"/>
      <c r="S11" s="39" t="e">
        <f>VLOOKUP(C4,'Charges des villes'!A8:H307,8,FALSE)</f>
        <v>#N/A</v>
      </c>
      <c r="T11" s="39">
        <f>-'Charges des villes'!H6</f>
        <v>-1116.4688427299704</v>
      </c>
      <c r="U11" s="44" t="e">
        <f t="shared" si="0"/>
        <v>#N/A</v>
      </c>
    </row>
    <row r="12" spans="2:25" ht="22.5" customHeight="1" x14ac:dyDescent="0.25">
      <c r="B12" s="710"/>
      <c r="C12" s="710"/>
      <c r="D12" s="710"/>
      <c r="E12" s="710"/>
      <c r="F12" s="710"/>
      <c r="G12" s="714"/>
      <c r="P12" s="708" t="s">
        <v>88</v>
      </c>
      <c r="Q12" s="708"/>
      <c r="R12" s="708"/>
      <c r="S12" s="39" t="e">
        <f>VLOOKUP(C4,'Charges des villes'!A8:I307,9,FALSE)</f>
        <v>#N/A</v>
      </c>
      <c r="T12" s="39">
        <f>-'Charges des villes'!I6</f>
        <v>-1169.6340257171119</v>
      </c>
      <c r="U12" s="44" t="e">
        <f t="shared" si="0"/>
        <v>#N/A</v>
      </c>
    </row>
    <row r="13" spans="2:25" ht="22.5" customHeight="1" x14ac:dyDescent="0.25">
      <c r="B13" s="708" t="s">
        <v>76</v>
      </c>
      <c r="C13" s="708"/>
      <c r="D13" s="708"/>
      <c r="E13" s="708"/>
      <c r="F13" s="708"/>
      <c r="G13" s="45" t="e">
        <f>G10*G4</f>
        <v>#N/A</v>
      </c>
      <c r="I13" s="53" t="s">
        <v>431</v>
      </c>
      <c r="J13" s="54"/>
      <c r="K13" s="54"/>
      <c r="L13" s="54"/>
      <c r="M13" s="54"/>
      <c r="N13" s="54"/>
      <c r="O13" s="69"/>
      <c r="P13" s="736" t="s">
        <v>89</v>
      </c>
      <c r="Q13" s="736"/>
      <c r="R13" s="736"/>
      <c r="S13" s="7" t="e">
        <f>VLOOKUP(C4,'Charges des villes'!A8:J307,10,FALSE)</f>
        <v>#N/A</v>
      </c>
      <c r="T13" s="7">
        <f>-'Charges des villes'!J6</f>
        <v>-1222.7992087042533</v>
      </c>
      <c r="U13" s="56" t="e">
        <f t="shared" si="0"/>
        <v>#N/A</v>
      </c>
    </row>
    <row r="14" spans="2:25" ht="22.5" customHeight="1" x14ac:dyDescent="0.25">
      <c r="I14" s="710" t="s">
        <v>472</v>
      </c>
      <c r="J14" s="710"/>
      <c r="K14" s="710"/>
      <c r="L14" s="710"/>
      <c r="M14" s="710"/>
      <c r="N14" s="118" t="e">
        <f>VLOOKUP(C4,'Besoins structurels'!A8:L307,12,FALSE)</f>
        <v>#N/A</v>
      </c>
      <c r="O14" s="119"/>
      <c r="R14" s="46" t="s">
        <v>25</v>
      </c>
      <c r="S14" s="39" t="e">
        <f>SUM(S7:S13)</f>
        <v>#N/A</v>
      </c>
      <c r="T14" s="6" t="s">
        <v>26</v>
      </c>
      <c r="U14" s="44" t="e">
        <f>SUM(U7:U13)</f>
        <v>#N/A</v>
      </c>
    </row>
    <row r="15" spans="2:25" ht="22.5" customHeight="1" x14ac:dyDescent="0.25">
      <c r="B15" s="51" t="s">
        <v>426</v>
      </c>
      <c r="C15" s="52"/>
      <c r="D15" s="52"/>
      <c r="E15" s="52"/>
      <c r="F15" s="52"/>
      <c r="G15" s="52"/>
      <c r="I15" s="710" t="str">
        <f>_xlfn.CONCAT("Cette commune a droit à une compensation par personne résidant en altitude égale à CHF ",TEXT(Paramètres!G18,0)," multipliés par la part susmentionnée, c'est-à-dire de CHF")</f>
        <v>Cette commune a droit à une compensation par personne résidant en altitude égale à CHF 585 multipliés par la part susmentionnée, c'est-à-dire de CHF</v>
      </c>
      <c r="J15" s="710"/>
      <c r="K15" s="710"/>
      <c r="L15" s="710"/>
      <c r="M15" s="710"/>
      <c r="N15" s="712" t="e">
        <f>VLOOKUP(C4,'Besoins structurels'!A8:M307,13,FALSE)</f>
        <v>#N/A</v>
      </c>
      <c r="O15" s="69"/>
    </row>
    <row r="16" spans="2:25" ht="22.5" customHeight="1" x14ac:dyDescent="0.25">
      <c r="B16" s="710" t="s">
        <v>75</v>
      </c>
      <c r="C16" s="710"/>
      <c r="D16" s="710"/>
      <c r="E16" s="710"/>
      <c r="F16" s="710"/>
      <c r="G16" s="715" t="e">
        <f>G6/G7</f>
        <v>#N/A</v>
      </c>
      <c r="I16" s="710"/>
      <c r="J16" s="710"/>
      <c r="K16" s="710"/>
      <c r="L16" s="710"/>
      <c r="M16" s="710"/>
      <c r="N16" s="712"/>
      <c r="O16" s="70"/>
      <c r="P16" s="710" t="s">
        <v>91</v>
      </c>
      <c r="Q16" s="710"/>
      <c r="R16" s="710"/>
      <c r="S16" s="710"/>
      <c r="T16" s="710"/>
      <c r="U16" s="711" t="e">
        <f>VLOOKUP(C4,'Charges des villes'!A8:M307,13,FALSE)</f>
        <v>#N/A</v>
      </c>
    </row>
    <row r="17" spans="2:21" ht="22.5" customHeight="1" x14ac:dyDescent="0.25">
      <c r="B17" s="710"/>
      <c r="C17" s="710"/>
      <c r="D17" s="710"/>
      <c r="E17" s="710"/>
      <c r="F17" s="710"/>
      <c r="G17" s="715"/>
      <c r="I17" s="737" t="s">
        <v>437</v>
      </c>
      <c r="J17" s="737"/>
      <c r="K17" s="737"/>
      <c r="L17" s="703" t="s">
        <v>436</v>
      </c>
      <c r="M17" s="703"/>
      <c r="N17" s="716" t="e">
        <f>VLOOKUP(C4,'Besoins structurels'!A8:K307,11,FALSE)</f>
        <v>#N/A</v>
      </c>
      <c r="P17" s="710"/>
      <c r="Q17" s="710"/>
      <c r="R17" s="710"/>
      <c r="S17" s="710"/>
      <c r="T17" s="710"/>
      <c r="U17" s="711"/>
    </row>
    <row r="18" spans="2:21" ht="22.5" customHeight="1" x14ac:dyDescent="0.25">
      <c r="B18" s="710"/>
      <c r="C18" s="710"/>
      <c r="D18" s="710"/>
      <c r="E18" s="710"/>
      <c r="F18" s="710"/>
      <c r="G18" s="715"/>
      <c r="I18" s="737"/>
      <c r="J18" s="737"/>
      <c r="K18" s="737"/>
      <c r="L18" s="703"/>
      <c r="M18" s="703"/>
      <c r="N18" s="716"/>
      <c r="P18" s="708" t="e">
        <f>IF(U18&gt;0,"La contribution nette de la commune est donc de CHF","La compensation nette en faveur de la commune est donc de CHF")</f>
        <v>#N/A</v>
      </c>
      <c r="Q18" s="708"/>
      <c r="R18" s="708"/>
      <c r="S18" s="708"/>
      <c r="T18" s="708"/>
      <c r="U18" s="55" t="e">
        <f>U14+U16</f>
        <v>#N/A</v>
      </c>
    </row>
    <row r="19" spans="2:21" ht="22.5" customHeight="1" x14ac:dyDescent="0.25">
      <c r="B19" s="708" t="e">
        <f>IF(G6&gt;G7,"Après péréquation des ressources, ce pourcentage est descendu à", "Après péréquation des ressources, ce pourcentage est monté à")</f>
        <v>#N/A</v>
      </c>
      <c r="C19" s="708"/>
      <c r="D19" s="708"/>
      <c r="E19" s="708"/>
      <c r="F19" s="708"/>
      <c r="G19" s="57" t="e">
        <f>(G6-G10)/G7</f>
        <v>#N/A</v>
      </c>
      <c r="I19" s="710" t="e">
        <f>IF(N19=0, "La commune n'ayant pas d'habitants qui résident en altitude, elle ne reçoit pas de compensation de ce mécanisme de la péréquation", "La compensation totale en faveur de la commune est donc de CHF")</f>
        <v>#N/A</v>
      </c>
      <c r="J19" s="710"/>
      <c r="K19" s="710"/>
      <c r="L19" s="710"/>
      <c r="M19" s="710"/>
      <c r="N19" s="702" t="e">
        <f>-N17*N15</f>
        <v>#N/A</v>
      </c>
    </row>
    <row r="20" spans="2:21" ht="22.5" customHeight="1" x14ac:dyDescent="0.25">
      <c r="B20" s="710" t="e">
        <f>IF(G19&lt;90%,_xlfn.CONCAT("Du moment que le pourcentage après péréquation des ressources n'atteigne pas ",TEXT(Paramètres!C6,"0%"),", cette commune reçoit, au titre de la dotation minimale, une compensation complémentaire de CHF"),_xlfn.CONCAT("Du moment que le pourcentage après péréquation des ressources est supérieur à ",TEXT(Paramètres!C6,"0%"),", cette commune ne reçoit pas de compensation complémentaire au titre de la dotation minimale"))</f>
        <v>#N/A</v>
      </c>
      <c r="C20" s="710"/>
      <c r="D20" s="710"/>
      <c r="E20" s="710"/>
      <c r="F20" s="710"/>
      <c r="G20" s="713" t="e">
        <f>VLOOKUP(C4,Ressources!A8:L307,12,FALSE)</f>
        <v>#N/A</v>
      </c>
      <c r="I20" s="710"/>
      <c r="J20" s="710"/>
      <c r="K20" s="710"/>
      <c r="L20" s="710"/>
      <c r="M20" s="710"/>
      <c r="N20" s="702"/>
      <c r="P20" s="49" t="s">
        <v>93</v>
      </c>
      <c r="Q20" s="50"/>
      <c r="R20" s="50"/>
      <c r="S20" s="50"/>
      <c r="T20" s="50"/>
      <c r="U20" s="50"/>
    </row>
    <row r="21" spans="2:21" ht="22.5" customHeight="1" x14ac:dyDescent="0.25">
      <c r="B21" s="710"/>
      <c r="C21" s="710"/>
      <c r="D21" s="710"/>
      <c r="E21" s="710"/>
      <c r="F21" s="710"/>
      <c r="G21" s="713"/>
      <c r="P21" s="710" t="s">
        <v>94</v>
      </c>
      <c r="Q21" s="710"/>
      <c r="R21" s="710"/>
      <c r="S21" s="710"/>
      <c r="T21" s="710"/>
      <c r="U21" s="734" t="e">
        <f>VLOOKUP(C4,'Charges des villes'!A8:R307,18,FALSE)</f>
        <v>#N/A</v>
      </c>
    </row>
    <row r="22" spans="2:21" ht="22.5" customHeight="1" x14ac:dyDescent="0.25">
      <c r="B22" s="710"/>
      <c r="C22" s="710"/>
      <c r="D22" s="710"/>
      <c r="E22" s="710"/>
      <c r="F22" s="710"/>
      <c r="G22" s="713"/>
      <c r="I22" s="53" t="s">
        <v>80</v>
      </c>
      <c r="J22" s="54"/>
      <c r="K22" s="54"/>
      <c r="L22" s="54"/>
      <c r="M22" s="54"/>
      <c r="N22" s="54"/>
      <c r="O22" s="69" t="s">
        <v>492</v>
      </c>
      <c r="P22" s="710"/>
      <c r="Q22" s="710"/>
      <c r="R22" s="710"/>
      <c r="S22" s="710"/>
      <c r="T22" s="710"/>
      <c r="U22" s="734"/>
    </row>
    <row r="23" spans="2:21" ht="22.5" customHeight="1" x14ac:dyDescent="0.25">
      <c r="I23" s="708" t="s">
        <v>81</v>
      </c>
      <c r="J23" s="708"/>
      <c r="K23" s="708"/>
      <c r="L23" s="708"/>
      <c r="M23" s="708"/>
      <c r="N23" s="74" t="e">
        <f>VLOOKUP(C4,'Besoins structurels'!A8:P307,16,FALSE)</f>
        <v>#N/A</v>
      </c>
      <c r="O23" s="69">
        <v>1</v>
      </c>
      <c r="P23" s="710" t="e">
        <f>IF(U21=0, "Du moment que sa participation est de 0, elle ne reçoit pas de compensation de la part de ce volet de la péréquation",_xlfn.CONCAT("La commune est compensée à hauteur de ",TEXT(Paramètres!U5,"0%")," de sa participation au financement de ces lignes, c'est-à-dire à hauteur de CHF"))</f>
        <v>#N/A</v>
      </c>
      <c r="Q23" s="710"/>
      <c r="R23" s="710"/>
      <c r="S23" s="710"/>
      <c r="T23" s="710"/>
      <c r="U23" s="711" t="e">
        <f>-U21*Paramètres!U5</f>
        <v>#N/A</v>
      </c>
    </row>
    <row r="24" spans="2:21" ht="22.5" customHeight="1" x14ac:dyDescent="0.25">
      <c r="B24" s="51" t="s">
        <v>428</v>
      </c>
      <c r="C24" s="52"/>
      <c r="D24" s="52"/>
      <c r="E24" s="52"/>
      <c r="F24" s="52"/>
      <c r="G24" s="52"/>
      <c r="I24" s="710" t="s">
        <v>425</v>
      </c>
      <c r="J24" s="710"/>
      <c r="K24" s="710"/>
      <c r="L24" s="710"/>
      <c r="M24" s="710"/>
      <c r="N24" s="734" t="e">
        <f>VLOOKUP(C4,'Besoins structurels'!A8:Q307,17,FALSE)</f>
        <v>#N/A</v>
      </c>
      <c r="O24" s="738">
        <f>Paramètres!K19</f>
        <v>0.15</v>
      </c>
      <c r="P24" s="710"/>
      <c r="Q24" s="710"/>
      <c r="R24" s="710"/>
      <c r="S24" s="710"/>
      <c r="T24" s="710"/>
      <c r="U24" s="711"/>
    </row>
    <row r="25" spans="2:21" ht="22.5" customHeight="1" x14ac:dyDescent="0.25">
      <c r="B25" s="710" t="str">
        <f>_xlfn.CONCAT("La commune doit verser à la péréquation ",TEXT(Paramètres!C9,"0%")," de son impôt sur les successions et donation, de son impôt sur les gains immobiliers et de ses droits de mutation, ce qui correspond à CHF")</f>
        <v>La commune doit verser à la péréquation 50% de son impôt sur les successions et donation, de son impôt sur les gains immobiliers et de ses droits de mutation, ce qui correspond à CHF</v>
      </c>
      <c r="C25" s="710"/>
      <c r="D25" s="710"/>
      <c r="E25" s="710"/>
      <c r="F25" s="710"/>
      <c r="G25" s="711" t="e">
        <f>VLOOKUP(C4,Ressources!A8:P307,14,FALSE)*Ressources!N6+VLOOKUP(C4,Ressources!A8:P307,15,FALSE)*Ressources!O6+VLOOKUP(C4,Ressources!A8:P307,16,FALSE)*Ressources!P6</f>
        <v>#N/A</v>
      </c>
      <c r="I25" s="710"/>
      <c r="J25" s="710"/>
      <c r="K25" s="710"/>
      <c r="L25" s="710"/>
      <c r="M25" s="710"/>
      <c r="N25" s="734"/>
      <c r="O25" s="738"/>
      <c r="P25" s="710" t="s">
        <v>95</v>
      </c>
      <c r="Q25" s="710"/>
      <c r="R25" s="710"/>
      <c r="S25" s="710"/>
      <c r="T25" s="710"/>
      <c r="U25" s="711" t="e">
        <f>VLOOKUP(C4,'Charges des villes'!A8:T307,20,FALSE)</f>
        <v>#N/A</v>
      </c>
    </row>
    <row r="26" spans="2:21" ht="22.5" customHeight="1" x14ac:dyDescent="0.25">
      <c r="B26" s="710"/>
      <c r="C26" s="710"/>
      <c r="D26" s="710"/>
      <c r="E26" s="710"/>
      <c r="F26" s="710"/>
      <c r="G26" s="711"/>
      <c r="I26" s="708" t="s">
        <v>396</v>
      </c>
      <c r="J26" s="708"/>
      <c r="K26" s="708"/>
      <c r="L26" s="708"/>
      <c r="M26" s="708"/>
      <c r="N26" s="73" t="e">
        <f>N23*O23+N24*O24</f>
        <v>#N/A</v>
      </c>
      <c r="P26" s="710"/>
      <c r="Q26" s="710"/>
      <c r="R26" s="710"/>
      <c r="S26" s="710"/>
      <c r="T26" s="710"/>
      <c r="U26" s="711"/>
    </row>
    <row r="27" spans="2:21" ht="22.5" customHeight="1" x14ac:dyDescent="0.25">
      <c r="B27" s="710" t="str">
        <f>_xlfn.CONCAT("La commune doit verser à la péréquation ",TEXT(Paramètres!C11,"0%")," de son impôt sur les frontaliers, ce qui correspond à CHF")</f>
        <v>La commune doit verser à la péréquation 30% de son impôt sur les frontaliers, ce qui correspond à CHF</v>
      </c>
      <c r="C27" s="710"/>
      <c r="D27" s="710"/>
      <c r="E27" s="710"/>
      <c r="F27" s="710"/>
      <c r="G27" s="711" t="e">
        <f>VLOOKUP(C4,Ressources!A8:Q307,17,FALSE)*Ressources!Q6</f>
        <v>#N/A</v>
      </c>
      <c r="I27" s="710" t="str">
        <f>_xlfn.CONCAT("Si elle avait un nombre d'élèves pondéré par habitant égale à ",TEXT('Besoins structurels'!V3,"0%")," de la moyenne cantonale, elle aurait le nombre d'élèves pondérés suivant")</f>
        <v>Si elle avait un nombre d'élèves pondéré par habitant égale à 120% de la moyenne cantonale, elle aurait le nombre d'élèves pondérés suivant</v>
      </c>
      <c r="J27" s="710"/>
      <c r="K27" s="710"/>
      <c r="L27" s="710"/>
      <c r="M27" s="710"/>
      <c r="N27" s="712" t="e">
        <f>VLOOKUP(C4,'Besoins structurels'!A8:T307,20,FALSE)</f>
        <v>#N/A</v>
      </c>
      <c r="P27" s="708" t="e">
        <f>IF(U27&gt;0,"La contribution nette de la commune est donc de CHF","La compensation nette en faveur de la commune est donc de CHF")</f>
        <v>#N/A</v>
      </c>
      <c r="Q27" s="708"/>
      <c r="R27" s="708"/>
      <c r="S27" s="708"/>
      <c r="T27" s="708"/>
      <c r="U27" s="55" t="e">
        <f>U25+U23</f>
        <v>#N/A</v>
      </c>
    </row>
    <row r="28" spans="2:21" ht="22.5" customHeight="1" x14ac:dyDescent="0.25">
      <c r="B28" s="710"/>
      <c r="C28" s="710"/>
      <c r="D28" s="710"/>
      <c r="E28" s="710"/>
      <c r="F28" s="710"/>
      <c r="G28" s="711"/>
      <c r="I28" s="710"/>
      <c r="J28" s="710"/>
      <c r="K28" s="710"/>
      <c r="L28" s="710"/>
      <c r="M28" s="710"/>
      <c r="N28" s="712"/>
    </row>
    <row r="29" spans="2:21" ht="22.5" customHeight="1" x14ac:dyDescent="0.25">
      <c r="B29" s="710" t="s">
        <v>577</v>
      </c>
      <c r="C29" s="710"/>
      <c r="D29" s="710"/>
      <c r="E29" s="710"/>
      <c r="F29" s="710"/>
      <c r="G29" s="711" t="e">
        <f>VLOOKUP(C4,Ressources!A8:S307,19,FALSE)</f>
        <v>#N/A</v>
      </c>
      <c r="I29" s="708" t="str">
        <f>_xlfn.CONCAT("L'écart entre ses élèves pondérés et ",TEXT('Besoins structurels'!V3,"0%")," de la moyenne est de")</f>
        <v>L'écart entre ses élèves pondérés et 120% de la moyenne est de</v>
      </c>
      <c r="J29" s="708"/>
      <c r="K29" s="708"/>
      <c r="L29" s="708"/>
      <c r="M29" s="708"/>
      <c r="N29" s="73" t="e">
        <f>N26-N27</f>
        <v>#N/A</v>
      </c>
      <c r="P29" s="282" t="s">
        <v>33</v>
      </c>
      <c r="Q29" s="283"/>
      <c r="R29" s="283"/>
      <c r="S29" s="283"/>
      <c r="T29" s="283"/>
      <c r="U29" s="283"/>
    </row>
    <row r="30" spans="2:21" ht="22.5" customHeight="1" x14ac:dyDescent="0.25">
      <c r="B30" s="710"/>
      <c r="C30" s="710"/>
      <c r="D30" s="710"/>
      <c r="E30" s="710"/>
      <c r="F30" s="710"/>
      <c r="G30" s="711"/>
      <c r="I30" s="710" t="e">
        <f>IF(N29&lt;0,_xlfn.CONCAT("Le nombre d'élèves pondéré de la commune étant inférieur à ",TEXT('Besoins structurels'!V3,"0%")," de la moyenne, celle-ci ne reçoit pas de compensation de ce mécanisme de la péréquation"), _xlfn.CONCAT("Le nombre d'élèves pondéré de la commune étant supérieur à ",TEXT('Besoins structurels'!V3,"0%")," de la moyenne, celle-ci reçoit CHF ",TEXT(Paramètres!K18,"#'##0")," par élève excédentaire, c'est-à-dire un total de CHF"))</f>
        <v>#N/A</v>
      </c>
      <c r="J30" s="710"/>
      <c r="K30" s="710"/>
      <c r="L30" s="710"/>
      <c r="M30" s="710"/>
      <c r="N30" s="702" t="e">
        <f>VLOOKUP(C4,'Besoins structurels'!A8:V307,22,FALSE)</f>
        <v>#N/A</v>
      </c>
      <c r="P30" s="708" t="s">
        <v>97</v>
      </c>
      <c r="Q30" s="708"/>
      <c r="R30" s="708"/>
      <c r="S30" s="708"/>
      <c r="T30" s="708"/>
      <c r="U30" s="92">
        <f>Police!Q3</f>
        <v>75383815</v>
      </c>
    </row>
    <row r="31" spans="2:21" ht="22.5" customHeight="1" x14ac:dyDescent="0.25">
      <c r="B31" s="708" t="e">
        <f>IF(G31&gt;0,"Au net, cette commune est contributrice de ce mécanisme pour CHF","Au net, cette commune est bénéficiaire de ce mécanisme pour CHF")</f>
        <v>#N/A</v>
      </c>
      <c r="C31" s="708"/>
      <c r="D31" s="708"/>
      <c r="E31" s="708"/>
      <c r="F31" s="708"/>
      <c r="G31" s="45" t="e">
        <f>SUM(G25:G30)</f>
        <v>#N/A</v>
      </c>
      <c r="I31" s="710"/>
      <c r="J31" s="710"/>
      <c r="K31" s="710"/>
      <c r="L31" s="710"/>
      <c r="M31" s="710"/>
      <c r="N31" s="702"/>
      <c r="P31" s="710" t="s">
        <v>98</v>
      </c>
      <c r="Q31" s="710"/>
      <c r="R31" s="710"/>
      <c r="S31" s="710"/>
      <c r="T31" s="710"/>
      <c r="U31" s="712">
        <f>Police!Q6/Police!C308</f>
        <v>30.831862204922238</v>
      </c>
    </row>
    <row r="32" spans="2:21" ht="22.5" customHeight="1" thickBot="1" x14ac:dyDescent="0.3">
      <c r="I32" s="120"/>
      <c r="J32" s="120"/>
      <c r="K32" s="120"/>
      <c r="L32" s="120"/>
      <c r="M32" s="120"/>
      <c r="N32" s="120"/>
      <c r="P32" s="710"/>
      <c r="Q32" s="710"/>
      <c r="R32" s="710"/>
      <c r="S32" s="710"/>
      <c r="T32" s="710"/>
      <c r="U32" s="712"/>
    </row>
    <row r="33" spans="2:21" ht="22.5" customHeight="1" thickTop="1" thickBot="1" x14ac:dyDescent="0.3">
      <c r="B33" s="282" t="s">
        <v>34</v>
      </c>
      <c r="C33" s="283"/>
      <c r="D33" s="283"/>
      <c r="E33" s="283"/>
      <c r="F33" s="283"/>
      <c r="G33" s="283"/>
      <c r="P33" s="710" t="e">
        <f>_xlfn.CONCAT(TEXT(1-Paramètres!K8,"0%")," de la facture est répartie exclusivement entre les communes délégatrices. Sa répartition se fait à ",TEXT(Paramètres!K9,"0%")," selon la population et à ",TEXT(Paramètres!K10,"0%")," selon la population pondérée.",IF(U33&gt;0," Pour une délégatrice de la taille de cette commune, la participation par habitant est de CHF","Cette commune n'étant pas délégatrice, elle ne finance pas cette partie de la facture"))</f>
        <v>#N/A</v>
      </c>
      <c r="Q33" s="710"/>
      <c r="R33" s="710"/>
      <c r="S33" s="710"/>
      <c r="T33" s="710"/>
      <c r="U33" s="712" t="e">
        <f>(VLOOKUP(C4,Police!A8:R307,18,FALSE)+VLOOKUP(C4,Police!A8:S307,19,FALSE)+VLOOKUP(C4,Police!A8:T307,20,FALSE))/'Détail par commune'!G4</f>
        <v>#N/A</v>
      </c>
    </row>
    <row r="34" spans="2:21" ht="22.5" customHeight="1" x14ac:dyDescent="0.25">
      <c r="B34" s="710" t="s">
        <v>99</v>
      </c>
      <c r="C34" s="710"/>
      <c r="D34" s="710"/>
      <c r="E34" s="710"/>
      <c r="F34" s="710"/>
      <c r="G34" s="734">
        <f>PCS!D4</f>
        <v>842017811</v>
      </c>
      <c r="I34" s="724" t="s">
        <v>475</v>
      </c>
      <c r="J34" s="726" t="s">
        <v>474</v>
      </c>
      <c r="K34" s="728" t="s">
        <v>476</v>
      </c>
      <c r="L34" s="730" t="s">
        <v>477</v>
      </c>
      <c r="M34" s="732" t="s">
        <v>488</v>
      </c>
      <c r="N34" s="732" t="s">
        <v>473</v>
      </c>
      <c r="P34" s="710"/>
      <c r="Q34" s="710"/>
      <c r="R34" s="710"/>
      <c r="S34" s="710"/>
      <c r="T34" s="710"/>
      <c r="U34" s="712"/>
    </row>
    <row r="35" spans="2:21" ht="22.5" customHeight="1" thickBot="1" x14ac:dyDescent="0.3">
      <c r="B35" s="710"/>
      <c r="C35" s="710"/>
      <c r="D35" s="710"/>
      <c r="E35" s="710"/>
      <c r="F35" s="710"/>
      <c r="G35" s="735"/>
      <c r="I35" s="725"/>
      <c r="J35" s="727"/>
      <c r="K35" s="729"/>
      <c r="L35" s="731"/>
      <c r="M35" s="733"/>
      <c r="N35" s="733"/>
      <c r="P35" s="710"/>
      <c r="Q35" s="710"/>
      <c r="R35" s="710"/>
      <c r="S35" s="710"/>
      <c r="T35" s="710"/>
      <c r="U35" s="712"/>
    </row>
    <row r="36" spans="2:21" ht="22.5" customHeight="1" thickBot="1" x14ac:dyDescent="0.3">
      <c r="B36" s="708" t="s">
        <v>96</v>
      </c>
      <c r="C36" s="708"/>
      <c r="D36" s="708"/>
      <c r="E36" s="708"/>
      <c r="F36" s="708"/>
      <c r="G36" s="92">
        <f>G34/Données!C308</f>
        <v>983.95418633267468</v>
      </c>
      <c r="I36" s="87" t="e">
        <f>VLOOKUP(C4,Synthèse!A8:F307,6,FALSE)</f>
        <v>#N/A</v>
      </c>
      <c r="J36" s="86" t="e">
        <f>VLOOKUP(C4,Synthèse!A8:J307,10,FALSE)</f>
        <v>#N/A</v>
      </c>
      <c r="K36" s="85" t="e">
        <f>VLOOKUP(C4,Synthèse!A8:M307,13,FALSE)</f>
        <v>#N/A</v>
      </c>
      <c r="L36" s="98" t="e">
        <f>VLOOKUP(C4,Synthèse!A8:N307,14,FALSE)</f>
        <v>#N/A</v>
      </c>
      <c r="M36" s="284" t="e">
        <f>VLOOKUP(C4,Synthèse!A8:T307,20,FALSE)</f>
        <v>#N/A</v>
      </c>
      <c r="N36" s="284" t="e">
        <f>VLOOKUP(C4,Synthèse!A8:U307,21,FALSE)</f>
        <v>#N/A</v>
      </c>
      <c r="P36" s="710"/>
      <c r="Q36" s="710"/>
      <c r="R36" s="710"/>
      <c r="S36" s="710"/>
      <c r="T36" s="710"/>
      <c r="U36" s="712"/>
    </row>
    <row r="37" spans="2:21" ht="22.5" customHeight="1" thickBot="1" x14ac:dyDescent="0.3">
      <c r="B37" s="710" t="e">
        <f>_xlfn.CONCAT("Avec sa population de ",TEXT(G4,"#'##0")," habitants, cette commune participe donc au financement de la PCS pour un total de CHF")</f>
        <v>#N/A</v>
      </c>
      <c r="C37" s="710"/>
      <c r="D37" s="710"/>
      <c r="E37" s="710"/>
      <c r="F37" s="710"/>
      <c r="G37" s="722" t="e">
        <f>G36*G4</f>
        <v>#N/A</v>
      </c>
      <c r="I37" s="723" t="s">
        <v>100</v>
      </c>
      <c r="J37" s="723"/>
      <c r="K37" s="723"/>
      <c r="L37" s="723"/>
      <c r="M37" s="723"/>
      <c r="N37" s="723"/>
      <c r="P37" s="710" t="e">
        <f>_xlfn.CONCAT("Avec sa population de ",TEXT(G4,"#'##0")," habitants, cette commune participe au financement de la facture policière pour un total de CHF")</f>
        <v>#N/A</v>
      </c>
      <c r="Q37" s="710"/>
      <c r="R37" s="710"/>
      <c r="S37" s="710"/>
      <c r="T37" s="710"/>
      <c r="U37" s="722" t="e">
        <f>VLOOKUP(C4,Police!A8:U307,21,FALSE)</f>
        <v>#N/A</v>
      </c>
    </row>
    <row r="38" spans="2:21" ht="22.5" customHeight="1" thickBot="1" x14ac:dyDescent="0.3">
      <c r="B38" s="710"/>
      <c r="C38" s="710"/>
      <c r="D38" s="710"/>
      <c r="E38" s="710"/>
      <c r="F38" s="710"/>
      <c r="G38" s="722"/>
      <c r="I38" s="719" t="s">
        <v>514</v>
      </c>
      <c r="J38" s="720"/>
      <c r="K38" s="720"/>
      <c r="L38" s="721"/>
      <c r="M38" s="717" t="e">
        <f>VLOOKUP(C4,Synthèse!A8:V307,22,FALSE)</f>
        <v>#N/A</v>
      </c>
      <c r="N38" s="718"/>
      <c r="P38" s="710"/>
      <c r="Q38" s="710"/>
      <c r="R38" s="710"/>
      <c r="S38" s="710"/>
      <c r="T38" s="710"/>
      <c r="U38" s="722"/>
    </row>
    <row r="39" spans="2:21" ht="22.5" customHeight="1" x14ac:dyDescent="0.25"/>
    <row r="40" spans="2:21" ht="22.5" customHeight="1" x14ac:dyDescent="0.25">
      <c r="P40" s="91"/>
      <c r="Q40" s="91"/>
      <c r="R40" s="91"/>
      <c r="S40" s="91"/>
      <c r="T40" s="91"/>
    </row>
    <row r="41" spans="2:21" ht="22.5" customHeight="1" x14ac:dyDescent="0.25"/>
    <row r="42" spans="2:21" ht="22.5" customHeight="1" x14ac:dyDescent="0.25"/>
    <row r="43" spans="2:21" ht="22.5" customHeight="1" x14ac:dyDescent="0.25"/>
    <row r="44" spans="2:21" ht="22.5" customHeight="1" x14ac:dyDescent="0.25"/>
    <row r="45" spans="2:21" ht="22.5" customHeight="1" x14ac:dyDescent="0.25"/>
    <row r="46" spans="2:21" ht="22.5" customHeight="1" x14ac:dyDescent="0.25"/>
    <row r="47" spans="2:21" ht="22.5" customHeight="1" x14ac:dyDescent="0.25"/>
    <row r="48" spans="2:21"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row r="152" ht="22.5" customHeight="1" x14ac:dyDescent="0.25"/>
    <row r="153" ht="22.5" customHeight="1" x14ac:dyDescent="0.25"/>
    <row r="154" ht="22.5" customHeight="1" x14ac:dyDescent="0.25"/>
    <row r="155" ht="22.5" customHeight="1" x14ac:dyDescent="0.25"/>
    <row r="156" ht="22.5" customHeight="1" x14ac:dyDescent="0.25"/>
    <row r="157" ht="2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4" ht="22.5" customHeight="1" x14ac:dyDescent="0.25"/>
    <row r="165" ht="22.5" customHeight="1" x14ac:dyDescent="0.25"/>
    <row r="166" ht="22.5" customHeight="1" x14ac:dyDescent="0.25"/>
    <row r="167" ht="22.5" customHeight="1" x14ac:dyDescent="0.25"/>
    <row r="168" ht="22.5" customHeight="1" x14ac:dyDescent="0.25"/>
    <row r="169" ht="22.5" customHeight="1" x14ac:dyDescent="0.25"/>
    <row r="170" ht="22.5" customHeight="1" x14ac:dyDescent="0.25"/>
    <row r="171" ht="22.5" customHeight="1" x14ac:dyDescent="0.25"/>
    <row r="172" ht="22.5" customHeight="1" x14ac:dyDescent="0.25"/>
    <row r="173" ht="22.5" customHeight="1" x14ac:dyDescent="0.25"/>
    <row r="174" ht="22.5" customHeight="1" x14ac:dyDescent="0.25"/>
    <row r="175" ht="22.5" customHeight="1" x14ac:dyDescent="0.25"/>
    <row r="176" ht="22.5" customHeight="1" x14ac:dyDescent="0.25"/>
    <row r="177" ht="22.5" customHeight="1" x14ac:dyDescent="0.25"/>
    <row r="178" ht="22.5" customHeight="1" x14ac:dyDescent="0.25"/>
    <row r="179" ht="22.5" customHeight="1" x14ac:dyDescent="0.25"/>
    <row r="180" ht="22.5" customHeight="1" x14ac:dyDescent="0.25"/>
    <row r="181" ht="22.5" customHeight="1" x14ac:dyDescent="0.25"/>
    <row r="182" ht="22.5" customHeight="1" x14ac:dyDescent="0.25"/>
    <row r="183" ht="22.5" customHeight="1" x14ac:dyDescent="0.25"/>
    <row r="184" ht="22.5" customHeight="1" x14ac:dyDescent="0.25"/>
    <row r="185" ht="22.5" customHeight="1" x14ac:dyDescent="0.25"/>
    <row r="186" ht="22.5" customHeight="1" x14ac:dyDescent="0.25"/>
    <row r="187" ht="22.5" customHeight="1" x14ac:dyDescent="0.25"/>
    <row r="188" ht="22.5" customHeight="1" x14ac:dyDescent="0.25"/>
    <row r="189" ht="22.5" customHeight="1" x14ac:dyDescent="0.25"/>
    <row r="190" ht="22.5" customHeight="1" x14ac:dyDescent="0.25"/>
    <row r="191" ht="22.5" customHeight="1" x14ac:dyDescent="0.25"/>
    <row r="192" ht="22.5" customHeight="1" x14ac:dyDescent="0.25"/>
    <row r="193" ht="22.5" customHeight="1" x14ac:dyDescent="0.25"/>
    <row r="194" ht="2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1" ht="22.5" customHeight="1" x14ac:dyDescent="0.25"/>
    <row r="202" ht="22.5" customHeight="1" x14ac:dyDescent="0.25"/>
    <row r="203" ht="22.5" customHeight="1" x14ac:dyDescent="0.25"/>
    <row r="204" ht="22.5" customHeight="1" x14ac:dyDescent="0.25"/>
    <row r="205" ht="22.5" customHeight="1" x14ac:dyDescent="0.25"/>
    <row r="206" ht="22.5" customHeight="1" x14ac:dyDescent="0.25"/>
    <row r="207" ht="22.5" customHeight="1" x14ac:dyDescent="0.25"/>
    <row r="208" ht="22.5" customHeight="1" x14ac:dyDescent="0.25"/>
    <row r="209" ht="22.5" customHeight="1" x14ac:dyDescent="0.25"/>
    <row r="210" ht="22.5" customHeight="1" x14ac:dyDescent="0.25"/>
    <row r="211" ht="22.5" customHeight="1" x14ac:dyDescent="0.25"/>
    <row r="212" ht="22.5" customHeight="1" x14ac:dyDescent="0.25"/>
    <row r="213" ht="22.5" customHeight="1" x14ac:dyDescent="0.25"/>
    <row r="214" ht="22.5" customHeight="1" x14ac:dyDescent="0.25"/>
    <row r="215" ht="22.5" customHeight="1" x14ac:dyDescent="0.25"/>
    <row r="216" ht="22.5" customHeight="1" x14ac:dyDescent="0.25"/>
    <row r="217" ht="22.5" customHeight="1" x14ac:dyDescent="0.25"/>
    <row r="218" ht="22.5" customHeight="1" x14ac:dyDescent="0.25"/>
    <row r="219" ht="22.5" customHeight="1" x14ac:dyDescent="0.25"/>
    <row r="220" ht="22.5" customHeight="1" x14ac:dyDescent="0.25"/>
    <row r="221" ht="22.5" customHeight="1" x14ac:dyDescent="0.25"/>
    <row r="222" ht="22.5" customHeight="1" x14ac:dyDescent="0.25"/>
    <row r="223" ht="22.5" customHeight="1" x14ac:dyDescent="0.25"/>
    <row r="224" ht="22.5" customHeight="1" x14ac:dyDescent="0.25"/>
    <row r="225" ht="22.5" customHeight="1" x14ac:dyDescent="0.25"/>
    <row r="226" ht="22.5" customHeight="1" x14ac:dyDescent="0.25"/>
    <row r="227" ht="22.5" customHeight="1" x14ac:dyDescent="0.25"/>
    <row r="228" ht="22.5" customHeight="1" x14ac:dyDescent="0.25"/>
    <row r="229" ht="22.5" customHeight="1" x14ac:dyDescent="0.25"/>
    <row r="230" ht="22.5" customHeight="1" x14ac:dyDescent="0.25"/>
    <row r="231" ht="2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8" ht="22.5" customHeight="1" x14ac:dyDescent="0.25"/>
    <row r="239" ht="22.5" customHeight="1" x14ac:dyDescent="0.25"/>
    <row r="240" ht="22.5" customHeight="1" x14ac:dyDescent="0.25"/>
    <row r="241" ht="22.5" customHeight="1" x14ac:dyDescent="0.25"/>
    <row r="242" ht="22.5" customHeight="1" x14ac:dyDescent="0.25"/>
    <row r="243" ht="22.5" customHeight="1" x14ac:dyDescent="0.25"/>
    <row r="244" ht="22.5" customHeight="1" x14ac:dyDescent="0.25"/>
    <row r="245" ht="22.5" customHeight="1" x14ac:dyDescent="0.25"/>
    <row r="246" ht="22.5" customHeight="1" x14ac:dyDescent="0.25"/>
    <row r="247" ht="22.5" customHeight="1" x14ac:dyDescent="0.25"/>
    <row r="248" ht="22.5" customHeight="1" x14ac:dyDescent="0.25"/>
    <row r="249" ht="22.5" customHeight="1" x14ac:dyDescent="0.25"/>
    <row r="250" ht="22.5" customHeight="1" x14ac:dyDescent="0.25"/>
    <row r="251" ht="22.5" customHeight="1" x14ac:dyDescent="0.25"/>
    <row r="252" ht="22.5" customHeight="1" x14ac:dyDescent="0.25"/>
    <row r="253" ht="22.5" customHeight="1" x14ac:dyDescent="0.25"/>
    <row r="254" ht="22.5" customHeight="1" x14ac:dyDescent="0.25"/>
    <row r="255" ht="22.5" customHeight="1" x14ac:dyDescent="0.25"/>
    <row r="256" ht="22.5" customHeight="1" x14ac:dyDescent="0.25"/>
  </sheetData>
  <sheetProtection sheet="1" objects="1" scenarios="1"/>
  <sortState xmlns:xlrd2="http://schemas.microsoft.com/office/spreadsheetml/2017/richdata2" ref="W5:W304">
    <sortCondition ref="W5:W304"/>
  </sortState>
  <mergeCells count="87">
    <mergeCell ref="Y2:Y3"/>
    <mergeCell ref="W2:W3"/>
    <mergeCell ref="X2:X3"/>
    <mergeCell ref="V2:V3"/>
    <mergeCell ref="I6:M6"/>
    <mergeCell ref="T2:U3"/>
    <mergeCell ref="P37:T38"/>
    <mergeCell ref="U37:U38"/>
    <mergeCell ref="P33:T36"/>
    <mergeCell ref="U33:U36"/>
    <mergeCell ref="P27:T27"/>
    <mergeCell ref="U31:U32"/>
    <mergeCell ref="P30:T30"/>
    <mergeCell ref="P31:T32"/>
    <mergeCell ref="U25:U26"/>
    <mergeCell ref="P25:T26"/>
    <mergeCell ref="I26:M26"/>
    <mergeCell ref="I27:M28"/>
    <mergeCell ref="N27:N28"/>
    <mergeCell ref="N24:N25"/>
    <mergeCell ref="U23:U24"/>
    <mergeCell ref="I23:M23"/>
    <mergeCell ref="I24:M25"/>
    <mergeCell ref="O24:O25"/>
    <mergeCell ref="P23:T24"/>
    <mergeCell ref="U21:U22"/>
    <mergeCell ref="I15:M16"/>
    <mergeCell ref="N15:N16"/>
    <mergeCell ref="P7:R7"/>
    <mergeCell ref="P8:R8"/>
    <mergeCell ref="P9:R9"/>
    <mergeCell ref="P10:R10"/>
    <mergeCell ref="P11:R11"/>
    <mergeCell ref="P12:R12"/>
    <mergeCell ref="P13:R13"/>
    <mergeCell ref="U16:U17"/>
    <mergeCell ref="P18:T18"/>
    <mergeCell ref="P21:T22"/>
    <mergeCell ref="P16:T17"/>
    <mergeCell ref="I17:K18"/>
    <mergeCell ref="I19:M20"/>
    <mergeCell ref="N30:N31"/>
    <mergeCell ref="B31:F31"/>
    <mergeCell ref="I34:I35"/>
    <mergeCell ref="J34:J35"/>
    <mergeCell ref="K34:K35"/>
    <mergeCell ref="L34:L35"/>
    <mergeCell ref="M34:M35"/>
    <mergeCell ref="N34:N35"/>
    <mergeCell ref="G29:G30"/>
    <mergeCell ref="B34:F35"/>
    <mergeCell ref="G34:G35"/>
    <mergeCell ref="B29:F30"/>
    <mergeCell ref="I29:M29"/>
    <mergeCell ref="I30:M31"/>
    <mergeCell ref="M38:N38"/>
    <mergeCell ref="I38:L38"/>
    <mergeCell ref="B36:F36"/>
    <mergeCell ref="B37:F38"/>
    <mergeCell ref="G37:G38"/>
    <mergeCell ref="I37:N37"/>
    <mergeCell ref="B27:F28"/>
    <mergeCell ref="G27:G28"/>
    <mergeCell ref="I7:M8"/>
    <mergeCell ref="N7:N8"/>
    <mergeCell ref="I9:M9"/>
    <mergeCell ref="B20:F22"/>
    <mergeCell ref="G20:G22"/>
    <mergeCell ref="B25:F26"/>
    <mergeCell ref="G25:G26"/>
    <mergeCell ref="B19:F19"/>
    <mergeCell ref="B10:F12"/>
    <mergeCell ref="B16:F18"/>
    <mergeCell ref="G10:G12"/>
    <mergeCell ref="B13:F13"/>
    <mergeCell ref="G16:G18"/>
    <mergeCell ref="N17:N18"/>
    <mergeCell ref="N19:N20"/>
    <mergeCell ref="L17:M18"/>
    <mergeCell ref="B2:C2"/>
    <mergeCell ref="D2:G2"/>
    <mergeCell ref="B6:F6"/>
    <mergeCell ref="B7:F7"/>
    <mergeCell ref="B8:E9"/>
    <mergeCell ref="I10:M11"/>
    <mergeCell ref="N10:N11"/>
    <mergeCell ref="I14:M14"/>
  </mergeCells>
  <conditionalFormatting sqref="G13 I36:N36">
    <cfRule type="cellIs" dxfId="33" priority="47" operator="lessThan">
      <formula>0</formula>
    </cfRule>
    <cfRule type="cellIs" dxfId="32" priority="48" operator="greaterThan">
      <formula>0</formula>
    </cfRule>
  </conditionalFormatting>
  <conditionalFormatting sqref="G20">
    <cfRule type="cellIs" dxfId="31" priority="45" operator="lessThan">
      <formula>0</formula>
    </cfRule>
    <cfRule type="cellIs" dxfId="30" priority="46" operator="greaterThan">
      <formula>0</formula>
    </cfRule>
  </conditionalFormatting>
  <conditionalFormatting sqref="G31">
    <cfRule type="cellIs" dxfId="29" priority="43" operator="lessThan">
      <formula>0</formula>
    </cfRule>
    <cfRule type="cellIs" dxfId="28" priority="44" operator="greaterThan">
      <formula>0</formula>
    </cfRule>
  </conditionalFormatting>
  <conditionalFormatting sqref="G37">
    <cfRule type="cellIs" dxfId="27" priority="41" operator="lessThan">
      <formula>0</formula>
    </cfRule>
    <cfRule type="cellIs" dxfId="26" priority="42" operator="greaterThan">
      <formula>0</formula>
    </cfRule>
  </conditionalFormatting>
  <conditionalFormatting sqref="N10">
    <cfRule type="cellIs" dxfId="25" priority="39" operator="lessThan">
      <formula>0</formula>
    </cfRule>
    <cfRule type="cellIs" dxfId="24" priority="40" operator="greaterThan">
      <formula>0</formula>
    </cfRule>
  </conditionalFormatting>
  <conditionalFormatting sqref="N30">
    <cfRule type="cellIs" dxfId="23" priority="35" operator="lessThan">
      <formula>0</formula>
    </cfRule>
    <cfRule type="cellIs" dxfId="22" priority="36" operator="greaterThan">
      <formula>0</formula>
    </cfRule>
  </conditionalFormatting>
  <conditionalFormatting sqref="U16">
    <cfRule type="cellIs" dxfId="21" priority="33" operator="lessThan">
      <formula>0</formula>
    </cfRule>
    <cfRule type="cellIs" dxfId="20" priority="34" operator="greaterThan">
      <formula>0</formula>
    </cfRule>
  </conditionalFormatting>
  <conditionalFormatting sqref="U14">
    <cfRule type="cellIs" dxfId="19" priority="31" operator="lessThan">
      <formula>0</formula>
    </cfRule>
    <cfRule type="cellIs" dxfId="18" priority="32" operator="greaterThan">
      <formula>0</formula>
    </cfRule>
  </conditionalFormatting>
  <conditionalFormatting sqref="U18">
    <cfRule type="cellIs" dxfId="17" priority="29" operator="lessThan">
      <formula>0</formula>
    </cfRule>
    <cfRule type="cellIs" dxfId="16" priority="30" operator="greaterThan">
      <formula>0</formula>
    </cfRule>
  </conditionalFormatting>
  <conditionalFormatting sqref="U27">
    <cfRule type="cellIs" dxfId="15" priority="27" operator="lessThan">
      <formula>0</formula>
    </cfRule>
    <cfRule type="cellIs" dxfId="14" priority="28" operator="greaterThan">
      <formula>0</formula>
    </cfRule>
  </conditionalFormatting>
  <conditionalFormatting sqref="U23 U25">
    <cfRule type="cellIs" dxfId="13" priority="25" operator="lessThan">
      <formula>0</formula>
    </cfRule>
    <cfRule type="cellIs" dxfId="12" priority="26" operator="greaterThan">
      <formula>0</formula>
    </cfRule>
  </conditionalFormatting>
  <conditionalFormatting sqref="G25 G27 G29">
    <cfRule type="cellIs" dxfId="11" priority="21" operator="lessThan">
      <formula>0</formula>
    </cfRule>
    <cfRule type="cellIs" dxfId="10" priority="22" operator="greaterThan">
      <formula>0</formula>
    </cfRule>
  </conditionalFormatting>
  <conditionalFormatting sqref="U37">
    <cfRule type="cellIs" dxfId="9" priority="19" operator="lessThan">
      <formula>0</formula>
    </cfRule>
    <cfRule type="cellIs" dxfId="8" priority="20" operator="greaterThan">
      <formula>0</formula>
    </cfRule>
  </conditionalFormatting>
  <conditionalFormatting sqref="U7:U13">
    <cfRule type="cellIs" dxfId="7" priority="15" operator="lessThan">
      <formula>0</formula>
    </cfRule>
    <cfRule type="cellIs" dxfId="6" priority="16" operator="greaterThan">
      <formula>0</formula>
    </cfRule>
  </conditionalFormatting>
  <conditionalFormatting sqref="G10">
    <cfRule type="cellIs" dxfId="5" priority="13" operator="lessThan">
      <formula>0</formula>
    </cfRule>
    <cfRule type="cellIs" dxfId="4" priority="14" operator="greaterThan">
      <formula>0</formula>
    </cfRule>
  </conditionalFormatting>
  <conditionalFormatting sqref="N19">
    <cfRule type="cellIs" dxfId="3" priority="5" operator="lessThan">
      <formula>0</formula>
    </cfRule>
    <cfRule type="cellIs" dxfId="2" priority="6" operator="greaterThan">
      <formula>0</formula>
    </cfRule>
  </conditionalFormatting>
  <conditionalFormatting sqref="M38">
    <cfRule type="cellIs" dxfId="1" priority="1" operator="lessThan">
      <formula>0</formula>
    </cfRule>
    <cfRule type="cellIs" dxfId="0" priority="2" operator="greaterThan">
      <formula>0</formula>
    </cfRule>
  </conditionalFormatting>
  <hyperlinks>
    <hyperlink ref="V2" location="'Table des matières'!A1" display="'Table des matières'!A1" xr:uid="{DA2A51E6-5E15-4B1C-BACB-46CBF4677D94}"/>
    <hyperlink ref="W2:W3" location="Synthèse!A1" display="Vue d'ensemble" xr:uid="{57DE739A-54F6-43E6-938D-086F2853FFAD}"/>
    <hyperlink ref="X2:X3" location="'Synthèse par commune'!A1" display="Synthèse par commune" xr:uid="{DDBED848-58C1-4AA8-96A5-5C0B68AB56C0}"/>
    <hyperlink ref="Y2" location="'Données par commune'!A1" display="Données par commune" xr:uid="{4EF70B3D-6921-4435-96DC-3D35C9C4DFA2}"/>
  </hyperlinks>
  <printOptions horizontalCentered="1" verticalCentered="1"/>
  <pageMargins left="0.70866141732283472" right="0.70866141732283472" top="0.74803149606299213" bottom="0.74803149606299213" header="0.31496062992125984" footer="0.31496062992125984"/>
  <pageSetup paperSize="8" scale="7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EF1620-E0B7-4BCA-ACD6-0F62DAF722CC}">
          <x14:formula1>
            <xm:f>Paramètres!$A$23:$A$322</xm:f>
          </x14:formula1>
          <xm:sqref>D2:G2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765B-F4BB-43AE-8D15-7D3B8983C76D}">
  <sheetPr>
    <tabColor rgb="FFCCCCFF"/>
    <pageSetUpPr fitToPage="1"/>
  </sheetPr>
  <dimension ref="B1:M43"/>
  <sheetViews>
    <sheetView zoomScale="90" zoomScaleNormal="90" workbookViewId="0">
      <selection activeCell="C3" sqref="C3:E3"/>
    </sheetView>
  </sheetViews>
  <sheetFormatPr baseColWidth="10" defaultRowHeight="15" outlineLevelRow="1" x14ac:dyDescent="0.25"/>
  <cols>
    <col min="1" max="1" width="5.7109375" style="19" customWidth="1"/>
    <col min="2" max="2" width="18.5703125" style="19" customWidth="1"/>
    <col min="3" max="3" width="20" style="19" customWidth="1"/>
    <col min="4" max="4" width="18.7109375" style="19" customWidth="1"/>
    <col min="5" max="5" width="5.7109375" style="19" customWidth="1"/>
    <col min="6" max="6" width="18.5703125" style="19" customWidth="1"/>
    <col min="7" max="7" width="20" style="19" customWidth="1"/>
    <col min="8" max="8" width="18.7109375" style="19" customWidth="1"/>
    <col min="9" max="9" width="7.28515625" style="19" customWidth="1"/>
    <col min="10" max="16384" width="11.42578125" style="19"/>
  </cols>
  <sheetData>
    <row r="1" spans="2:13" ht="30" customHeight="1" thickTop="1" thickBot="1" x14ac:dyDescent="0.3">
      <c r="B1" s="682" t="str">
        <f>_xlfn.CONCAT("Données de référence par commune (",Paramètres!O5,")")</f>
        <v>Données de référence par commune (2024)</v>
      </c>
      <c r="C1" s="683"/>
      <c r="D1" s="683"/>
      <c r="E1" s="683"/>
      <c r="F1" s="683"/>
      <c r="G1" s="683"/>
      <c r="H1" s="684"/>
      <c r="J1" s="133" t="s">
        <v>443</v>
      </c>
      <c r="K1" s="133" t="s">
        <v>422</v>
      </c>
      <c r="L1" s="439" t="s">
        <v>499</v>
      </c>
      <c r="M1" s="133" t="s">
        <v>487</v>
      </c>
    </row>
    <row r="2" spans="2:13" ht="15" customHeight="1" thickTop="1" x14ac:dyDescent="0.2">
      <c r="B2" s="217"/>
      <c r="C2" s="440"/>
      <c r="E2" s="219"/>
      <c r="F2" s="219" t="s">
        <v>486</v>
      </c>
      <c r="G2" s="219"/>
      <c r="L2" s="444"/>
    </row>
    <row r="3" spans="2:13" ht="22.5" customHeight="1" x14ac:dyDescent="0.25">
      <c r="B3" s="220" t="s">
        <v>393</v>
      </c>
      <c r="C3" s="694"/>
      <c r="D3" s="695"/>
      <c r="E3" s="751"/>
      <c r="F3" s="221" t="e">
        <f>VLOOKUP(C3,Paramètres!A23:B322,2,FALSE)</f>
        <v>#N/A</v>
      </c>
      <c r="G3" s="35"/>
    </row>
    <row r="4" spans="2:13" ht="15" customHeight="1" x14ac:dyDescent="0.2">
      <c r="B4" s="217"/>
      <c r="C4" s="217"/>
      <c r="D4" s="226" t="s">
        <v>491</v>
      </c>
      <c r="E4" s="226"/>
      <c r="F4" s="18"/>
    </row>
    <row r="5" spans="2:13" ht="22.5" customHeight="1" x14ac:dyDescent="0.25">
      <c r="B5" s="748" t="s">
        <v>560</v>
      </c>
      <c r="C5" s="749"/>
      <c r="D5" s="750"/>
      <c r="E5" s="223"/>
      <c r="F5" s="746" t="s">
        <v>561</v>
      </c>
      <c r="G5" s="746"/>
      <c r="H5" s="747"/>
      <c r="I5" s="440"/>
    </row>
    <row r="6" spans="2:13" ht="22.5" customHeight="1" outlineLevel="1" x14ac:dyDescent="0.2">
      <c r="B6" s="445" t="s">
        <v>3</v>
      </c>
      <c r="C6" s="446"/>
      <c r="D6" s="222" t="e">
        <f>VLOOKUP($F$3,Données!$A$8:$W$307,6)</f>
        <v>#N/A</v>
      </c>
      <c r="E6" s="226"/>
      <c r="F6" s="441" t="s">
        <v>29</v>
      </c>
      <c r="G6" s="443"/>
      <c r="H6" s="447" t="e">
        <f>VLOOKUP($F$3,Données!A8:AE307,3)</f>
        <v>#N/A</v>
      </c>
      <c r="I6" s="223"/>
    </row>
    <row r="7" spans="2:13" ht="22.5" customHeight="1" outlineLevel="1" x14ac:dyDescent="0.2">
      <c r="B7" s="441" t="s">
        <v>4</v>
      </c>
      <c r="C7" s="442"/>
      <c r="D7" s="222" t="e">
        <f>VLOOKUP($F$3,Données!$A$8:$W$307,7)</f>
        <v>#N/A</v>
      </c>
      <c r="E7" s="226"/>
      <c r="F7" s="441" t="s">
        <v>30</v>
      </c>
      <c r="G7" s="443"/>
      <c r="H7" s="447" t="e">
        <f>VLOOKUP($F$3,Données!A8:AE307,24)</f>
        <v>#N/A</v>
      </c>
      <c r="I7" s="223"/>
    </row>
    <row r="8" spans="2:13" ht="22.5" customHeight="1" outlineLevel="1" x14ac:dyDescent="0.2">
      <c r="B8" s="441" t="s">
        <v>5</v>
      </c>
      <c r="C8" s="442"/>
      <c r="D8" s="222" t="e">
        <f>VLOOKUP($F$3,Données!$A$8:$W$307,8)</f>
        <v>#N/A</v>
      </c>
      <c r="E8" s="226"/>
      <c r="F8" s="441" t="s">
        <v>414</v>
      </c>
      <c r="G8" s="443"/>
      <c r="H8" s="447" t="e">
        <f>VLOOKUP($F$3,Données!A8:AE307,25)</f>
        <v>#N/A</v>
      </c>
      <c r="I8" s="223"/>
    </row>
    <row r="9" spans="2:13" ht="22.5" customHeight="1" outlineLevel="1" x14ac:dyDescent="0.2">
      <c r="B9" s="441" t="s">
        <v>6</v>
      </c>
      <c r="C9" s="442"/>
      <c r="D9" s="222" t="e">
        <f>VLOOKUP($F$3,Données!$A$8:$W$307,9)</f>
        <v>#N/A</v>
      </c>
      <c r="E9" s="226"/>
      <c r="F9" s="441" t="s">
        <v>417</v>
      </c>
      <c r="G9" s="443"/>
      <c r="H9" s="469" t="e">
        <f>VLOOKUP($F$3,Données!A8:AE307,26)</f>
        <v>#N/A</v>
      </c>
      <c r="I9" s="223"/>
    </row>
    <row r="10" spans="2:13" ht="22.5" customHeight="1" outlineLevel="1" x14ac:dyDescent="0.2">
      <c r="B10" s="441" t="s">
        <v>7</v>
      </c>
      <c r="C10" s="442"/>
      <c r="D10" s="222" t="e">
        <f>VLOOKUP($F$3,Données!$A$8:$W$307,10)</f>
        <v>#N/A</v>
      </c>
      <c r="E10" s="226"/>
      <c r="F10" s="441" t="s">
        <v>571</v>
      </c>
      <c r="G10" s="443"/>
      <c r="H10" s="447" t="e">
        <f>VLOOKUP($F$3,Données!A8:AE307,27)</f>
        <v>#N/A</v>
      </c>
      <c r="I10" s="223"/>
    </row>
    <row r="11" spans="2:13" ht="22.5" customHeight="1" outlineLevel="1" x14ac:dyDescent="0.2">
      <c r="B11" s="441" t="s">
        <v>54</v>
      </c>
      <c r="C11" s="442"/>
      <c r="D11" s="222" t="e">
        <f>VLOOKUP($F$3,Données!$A$8:$W$307,11)</f>
        <v>#N/A</v>
      </c>
      <c r="E11" s="226"/>
      <c r="F11" s="441" t="s">
        <v>566</v>
      </c>
      <c r="G11" s="443"/>
      <c r="H11" s="447" t="e">
        <f>VLOOKUP($F$3,Données!A8:AE307,28)</f>
        <v>#N/A</v>
      </c>
      <c r="I11" s="223"/>
    </row>
    <row r="12" spans="2:13" ht="22.5" customHeight="1" outlineLevel="1" x14ac:dyDescent="0.2">
      <c r="B12" s="441" t="s">
        <v>44</v>
      </c>
      <c r="C12" s="442"/>
      <c r="D12" s="222" t="e">
        <f>VLOOKUP($F$3,Données!$A$8:$W$307,12)</f>
        <v>#N/A</v>
      </c>
      <c r="E12" s="226"/>
      <c r="F12" s="441" t="str">
        <f>_xlfn.CONCAT("Déficit du trafic urbain (budget ",Paramètres!O5,")")</f>
        <v>Déficit du trafic urbain (budget 2024)</v>
      </c>
      <c r="G12" s="446"/>
      <c r="H12" s="447" t="e">
        <f>VLOOKUP($F$3,Données!A8:AE307,29)</f>
        <v>#N/A</v>
      </c>
      <c r="I12" s="223"/>
    </row>
    <row r="13" spans="2:13" ht="22.5" customHeight="1" outlineLevel="1" x14ac:dyDescent="0.2">
      <c r="B13" s="441" t="s">
        <v>568</v>
      </c>
      <c r="C13" s="442"/>
      <c r="D13" s="222" t="e">
        <f>VLOOKUP($F$3,Données!$A$8:$W$307,13)</f>
        <v>#N/A</v>
      </c>
      <c r="E13" s="226"/>
      <c r="F13" s="445" t="str">
        <f>_xlfn.CONCAT("Déficit du trafic urbain (solde ",Paramètres!O5-1,")")</f>
        <v>Déficit du trafic urbain (solde 2023)</v>
      </c>
      <c r="G13" s="446"/>
      <c r="H13" s="447" t="e">
        <f>VLOOKUP($F$3,Données!A8:AE307,30)</f>
        <v>#N/A</v>
      </c>
      <c r="I13" s="223"/>
    </row>
    <row r="14" spans="2:13" ht="22.5" customHeight="1" outlineLevel="1" x14ac:dyDescent="0.2">
      <c r="B14" s="441" t="s">
        <v>567</v>
      </c>
      <c r="C14" s="442"/>
      <c r="D14" s="222" t="e">
        <f>VLOOKUP($F$3,Données!$A$8:$W$307,14)</f>
        <v>#N/A</v>
      </c>
      <c r="E14" s="226"/>
      <c r="F14" s="445" t="s">
        <v>24</v>
      </c>
      <c r="G14" s="446"/>
      <c r="H14" s="447" t="e">
        <f>IF(VLOOKUP($F$3,Données!A8:AE307,31)=1,"PolCom", "délégatrice")</f>
        <v>#N/A</v>
      </c>
      <c r="I14" s="35"/>
    </row>
    <row r="15" spans="2:13" ht="22.5" customHeight="1" outlineLevel="1" x14ac:dyDescent="0.2">
      <c r="B15" s="441" t="s">
        <v>9</v>
      </c>
      <c r="C15" s="442"/>
      <c r="D15" s="222" t="e">
        <f>VLOOKUP($F$3,Données!$A$8:$W$307,15)</f>
        <v>#N/A</v>
      </c>
      <c r="E15" s="226"/>
    </row>
    <row r="16" spans="2:13" ht="22.5" customHeight="1" outlineLevel="1" x14ac:dyDescent="0.2">
      <c r="B16" s="441" t="s">
        <v>8</v>
      </c>
      <c r="C16" s="442"/>
      <c r="D16" s="222" t="e">
        <f>VLOOKUP($F$3,Données!$A$8:$W$307,16)</f>
        <v>#N/A</v>
      </c>
      <c r="E16" s="226"/>
      <c r="F16" s="747" t="s">
        <v>573</v>
      </c>
      <c r="G16" s="747"/>
      <c r="H16" s="747"/>
      <c r="I16" s="35"/>
    </row>
    <row r="17" spans="2:9" ht="22.5" customHeight="1" outlineLevel="1" x14ac:dyDescent="0.2">
      <c r="B17" s="441" t="s">
        <v>565</v>
      </c>
      <c r="C17" s="442"/>
      <c r="D17" s="222" t="e">
        <f>VLOOKUP($F$3,Données!$A$8:$W$307,17)</f>
        <v>#N/A</v>
      </c>
      <c r="E17" s="226"/>
      <c r="F17" s="745" t="s">
        <v>572</v>
      </c>
      <c r="G17" s="745"/>
      <c r="H17" s="222" t="e">
        <f>VLOOKUP($F$3,Données!A8:AE307,4)</f>
        <v>#N/A</v>
      </c>
      <c r="I17" s="35"/>
    </row>
    <row r="18" spans="2:9" ht="22.5" customHeight="1" outlineLevel="1" x14ac:dyDescent="0.2">
      <c r="B18" s="441" t="s">
        <v>35</v>
      </c>
      <c r="C18" s="442"/>
      <c r="D18" s="222" t="e">
        <f>VLOOKUP($F$3,Données!$A$8:$W$307,18)</f>
        <v>#N/A</v>
      </c>
      <c r="E18" s="226"/>
      <c r="F18" s="745" t="s">
        <v>56</v>
      </c>
      <c r="G18" s="745"/>
      <c r="H18" s="451">
        <f>RFS!T4</f>
        <v>67.48387875046572</v>
      </c>
    </row>
    <row r="19" spans="2:9" ht="22.5" customHeight="1" outlineLevel="1" x14ac:dyDescent="0.2">
      <c r="B19" s="441" t="s">
        <v>38</v>
      </c>
      <c r="C19" s="442"/>
      <c r="D19" s="222" t="e">
        <f>VLOOKUP($F$3,Données!$A$8:$W$307,19)</f>
        <v>#N/A</v>
      </c>
      <c r="E19" s="226"/>
      <c r="F19" s="745" t="s">
        <v>562</v>
      </c>
      <c r="G19" s="745"/>
      <c r="H19" s="451" t="e">
        <f>VLOOKUP($F$3,Données!A8:AE307,5)</f>
        <v>#N/A</v>
      </c>
    </row>
    <row r="20" spans="2:9" ht="22.5" customHeight="1" outlineLevel="1" x14ac:dyDescent="0.2">
      <c r="B20" s="445" t="s">
        <v>39</v>
      </c>
      <c r="C20" s="446"/>
      <c r="D20" s="222" t="e">
        <f>VLOOKUP($F$3,Données!$A$8:$W$307,20)</f>
        <v>#N/A</v>
      </c>
      <c r="E20" s="226"/>
    </row>
    <row r="21" spans="2:9" ht="22.5" customHeight="1" outlineLevel="1" x14ac:dyDescent="0.2">
      <c r="B21" s="445" t="s">
        <v>40</v>
      </c>
      <c r="C21" s="446"/>
      <c r="D21" s="222" t="e">
        <f>VLOOKUP($F$3,Données!$A$8:$W$307,21)</f>
        <v>#N/A</v>
      </c>
      <c r="E21" s="226"/>
      <c r="F21" s="747" t="s">
        <v>570</v>
      </c>
      <c r="G21" s="747"/>
      <c r="H21" s="747"/>
      <c r="I21" s="35"/>
    </row>
    <row r="22" spans="2:9" s="35" customFormat="1" ht="21.75" customHeight="1" x14ac:dyDescent="0.25">
      <c r="B22" s="445" t="s">
        <v>41</v>
      </c>
      <c r="C22" s="446"/>
      <c r="D22" s="222" t="e">
        <f>VLOOKUP($F$3,Données!$A$8:$W$307,22)</f>
        <v>#N/A</v>
      </c>
      <c r="E22" s="223"/>
      <c r="F22" s="745" t="s">
        <v>563</v>
      </c>
      <c r="G22" s="745"/>
      <c r="H22" s="222" t="e">
        <f>VLOOKUP(F3,Ressources!A8:F307,6,FALSE)</f>
        <v>#N/A</v>
      </c>
      <c r="I22" s="19"/>
    </row>
    <row r="23" spans="2:9" ht="22.5" customHeight="1" x14ac:dyDescent="0.25">
      <c r="B23" s="448" t="s">
        <v>569</v>
      </c>
      <c r="C23" s="449"/>
      <c r="D23" s="450" t="e">
        <f>VLOOKUP($F$3,Données!$A$8:$W$307,23)</f>
        <v>#N/A</v>
      </c>
      <c r="E23" s="223"/>
      <c r="F23" s="745" t="s">
        <v>579</v>
      </c>
      <c r="G23" s="745"/>
      <c r="H23" s="222">
        <f>Ressources!F6</f>
        <v>3340.4146624228424</v>
      </c>
    </row>
    <row r="24" spans="2:9" s="234" customFormat="1" ht="22.5" customHeight="1" outlineLevel="1" x14ac:dyDescent="0.25">
      <c r="E24" s="223"/>
      <c r="F24" s="19"/>
      <c r="G24" s="19"/>
      <c r="H24" s="19"/>
      <c r="I24" s="19"/>
    </row>
    <row r="25" spans="2:9" s="234" customFormat="1" ht="22.5" customHeight="1" outlineLevel="1" x14ac:dyDescent="0.25">
      <c r="E25" s="223"/>
      <c r="I25" s="35"/>
    </row>
    <row r="26" spans="2:9" s="234" customFormat="1" ht="22.5" customHeight="1" outlineLevel="1" x14ac:dyDescent="0.25">
      <c r="E26" s="223"/>
      <c r="F26" s="35"/>
      <c r="G26" s="35"/>
      <c r="H26" s="35"/>
      <c r="I26" s="19"/>
    </row>
    <row r="27" spans="2:9" s="35" customFormat="1" ht="11.25" customHeight="1" x14ac:dyDescent="0.25">
      <c r="E27" s="223"/>
      <c r="F27" s="19"/>
      <c r="G27" s="19"/>
      <c r="H27" s="19"/>
      <c r="I27" s="19"/>
    </row>
    <row r="28" spans="2:9" ht="22.5" customHeight="1" x14ac:dyDescent="0.25">
      <c r="E28" s="223"/>
    </row>
    <row r="29" spans="2:9" ht="22.5" customHeight="1" outlineLevel="1" x14ac:dyDescent="0.25">
      <c r="E29" s="223"/>
    </row>
    <row r="30" spans="2:9" ht="22.5" customHeight="1" outlineLevel="1" x14ac:dyDescent="0.25">
      <c r="E30" s="223"/>
    </row>
    <row r="31" spans="2:9" s="35" customFormat="1" ht="11.25" customHeight="1" x14ac:dyDescent="0.25">
      <c r="E31" s="223"/>
      <c r="F31" s="19"/>
      <c r="G31" s="19"/>
      <c r="H31" s="19"/>
      <c r="I31" s="19"/>
    </row>
    <row r="32" spans="2:9" ht="22.5" customHeight="1" x14ac:dyDescent="0.25">
      <c r="E32" s="223"/>
    </row>
    <row r="33" spans="5:9" s="35" customFormat="1" ht="27" customHeight="1" x14ac:dyDescent="0.25">
      <c r="E33" s="223"/>
      <c r="F33" s="19"/>
      <c r="G33" s="19"/>
      <c r="H33" s="19"/>
      <c r="I33" s="19"/>
    </row>
    <row r="34" spans="5:9" s="35" customFormat="1" ht="27" customHeight="1" x14ac:dyDescent="0.25">
      <c r="E34" s="223"/>
      <c r="F34" s="19"/>
      <c r="G34" s="19"/>
      <c r="H34" s="19"/>
      <c r="I34" s="19"/>
    </row>
    <row r="35" spans="5:9" ht="22.5" customHeight="1" x14ac:dyDescent="0.25">
      <c r="E35" s="224"/>
    </row>
    <row r="36" spans="5:9" ht="11.25" customHeight="1" x14ac:dyDescent="0.25">
      <c r="E36" s="224"/>
    </row>
    <row r="37" spans="5:9" ht="22.5" customHeight="1" x14ac:dyDescent="0.25">
      <c r="E37" s="224"/>
    </row>
    <row r="38" spans="5:9" s="35" customFormat="1" ht="11.25" customHeight="1" x14ac:dyDescent="0.25">
      <c r="E38" s="224"/>
      <c r="F38" s="19"/>
      <c r="G38" s="19"/>
      <c r="H38" s="19"/>
      <c r="I38" s="19"/>
    </row>
    <row r="39" spans="5:9" ht="22.5" customHeight="1" x14ac:dyDescent="0.25">
      <c r="E39" s="224"/>
    </row>
    <row r="40" spans="5:9" ht="22.5" customHeight="1" x14ac:dyDescent="0.25">
      <c r="E40" s="224"/>
    </row>
    <row r="41" spans="5:9" ht="22.5" customHeight="1" x14ac:dyDescent="0.25">
      <c r="E41" s="224"/>
    </row>
    <row r="42" spans="5:9" s="35" customFormat="1" ht="11.25" customHeight="1" x14ac:dyDescent="0.25">
      <c r="E42" s="224"/>
      <c r="F42" s="19"/>
      <c r="G42" s="19"/>
      <c r="H42" s="19"/>
      <c r="I42" s="19"/>
    </row>
    <row r="43" spans="5:9" ht="22.5" customHeight="1" x14ac:dyDescent="0.25">
      <c r="E43" s="225"/>
    </row>
  </sheetData>
  <sheetProtection sheet="1" objects="1" scenarios="1"/>
  <mergeCells count="11">
    <mergeCell ref="B1:H1"/>
    <mergeCell ref="B5:D5"/>
    <mergeCell ref="C3:E3"/>
    <mergeCell ref="F16:H16"/>
    <mergeCell ref="F17:G17"/>
    <mergeCell ref="F18:G18"/>
    <mergeCell ref="F19:G19"/>
    <mergeCell ref="F22:G22"/>
    <mergeCell ref="F23:G23"/>
    <mergeCell ref="F5:H5"/>
    <mergeCell ref="F21:H21"/>
  </mergeCells>
  <hyperlinks>
    <hyperlink ref="J1" location="'Table des matières'!A1" display="'Table des matières'!A1" xr:uid="{DDD1807D-A38D-4ECB-AD62-186C8B6BAD9F}"/>
    <hyperlink ref="K1" location="Synthèse!A1" display="Vue d'ensemble" xr:uid="{924C1029-CFE9-4A64-9F76-0A49C298CE96}"/>
    <hyperlink ref="M1" location="'Détail par commune'!A1" display="Détail par commune" xr:uid="{1FCB581F-CE33-4F34-93A6-EBD739DC78DD}"/>
    <hyperlink ref="L1:L2" location="'Synthèse par commune'!A1" display="Synthèse par commune" xr:uid="{CBE1EC49-95D7-4FBE-B476-1ACA51BB9C6F}"/>
  </hyperlinks>
  <printOptions horizontalCentered="1"/>
  <pageMargins left="0.70866141732283472" right="0.70866141732283472" top="0.74803149606299213" bottom="0.74803149606299213" header="0.31496062992125984" footer="0.31496062992125984"/>
  <pageSetup paperSize="9" scale="9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2B9DAE-A539-4D6E-B86E-CE2D30BB30E8}">
          <x14:formula1>
            <xm:f>Paramètres!$A$23:$A$322</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6</vt:i4>
      </vt:variant>
    </vt:vector>
  </HeadingPairs>
  <TitlesOfParts>
    <vt:vector size="19" baseType="lpstr">
      <vt:lpstr>Table des matières</vt:lpstr>
      <vt:lpstr>Paramètres</vt:lpstr>
      <vt:lpstr>Données</vt:lpstr>
      <vt:lpstr>RFS</vt:lpstr>
      <vt:lpstr>Ressources</vt:lpstr>
      <vt:lpstr>Besoins structurels</vt:lpstr>
      <vt:lpstr>Charges des villes</vt:lpstr>
      <vt:lpstr>PCS</vt:lpstr>
      <vt:lpstr>Police</vt:lpstr>
      <vt:lpstr>Synthèse</vt:lpstr>
      <vt:lpstr>Synthèse par commune</vt:lpstr>
      <vt:lpstr>Détail par commune</vt:lpstr>
      <vt:lpstr>Données par commune</vt:lpstr>
      <vt:lpstr>Données!Impression_des_titres</vt:lpstr>
      <vt:lpstr>Ressources!Impression_des_titres</vt:lpstr>
      <vt:lpstr>RFS!Impression_des_titres</vt:lpstr>
      <vt:lpstr>'Détail par commune'!Zone_d_impression</vt:lpstr>
      <vt:lpstr>'Données par commune'!Zone_d_impression</vt:lpstr>
      <vt:lpstr>'Synthèse par commune'!Zone_d_impression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Cappelletti Fabio</dc:creator>
  <cp:lastModifiedBy>Cappelletti Fabio</cp:lastModifiedBy>
  <cp:lastPrinted>2025-06-25T12:35:29Z</cp:lastPrinted>
  <dcterms:created xsi:type="dcterms:W3CDTF">2022-09-02T12:13:21Z</dcterms:created>
  <dcterms:modified xsi:type="dcterms:W3CDTF">2025-07-01T08:03:34Z</dcterms:modified>
</cp:coreProperties>
</file>